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CHAU 2\Important_Doc\2021-2022\DANH SACH_DIEM\New folder\"/>
    </mc:Choice>
  </mc:AlternateContent>
  <bookViews>
    <workbookView xWindow="0" yWindow="0" windowWidth="20490" windowHeight="7320"/>
  </bookViews>
  <sheets>
    <sheet name="HK1" sheetId="1" r:id="rId1"/>
    <sheet name="HK2" sheetId="2" r:id="rId2"/>
    <sheet name="CN" sheetId="3" r:id="rId3"/>
  </sheets>
  <definedNames>
    <definedName name="ClassAvgPoints" localSheetId="2">#REF!</definedName>
    <definedName name="ClassAvgPoints" localSheetId="1">#REF!</definedName>
    <definedName name="ClassAvgPoints">#REF!</definedName>
    <definedName name="GradeRange">#REF!</definedName>
    <definedName name="Grades">#REF!</definedName>
    <definedName name="PointValues" localSheetId="2">#REF!</definedName>
    <definedName name="PointValues" localSheetId="1">#REF!</definedName>
    <definedName name="PointValues">#REF!</definedName>
    <definedName name="StudentGrades" localSheetId="2">#REF!</definedName>
    <definedName name="StudentGrades" localSheetId="1">#REF!</definedName>
    <definedName name="StudentGrades">#REF!</definedName>
    <definedName name="StudentNames" localSheetId="2">CN!$B$3:$B$38</definedName>
    <definedName name="StudentNames" localSheetId="0">'HK1'!$B$3:$B$38</definedName>
    <definedName name="StudentNames" localSheetId="1">'HK2'!$B$3:$B$38</definedName>
    <definedName name="TotalPoints" localSheetId="2">#REF!</definedName>
    <definedName name="TotalPoints" localSheetId="1">#REF!</definedName>
    <definedName name="TotalPoints">#REF!</definedName>
  </definedNames>
  <calcPr calcId="162913"/>
</workbook>
</file>

<file path=xl/calcChain.xml><?xml version="1.0" encoding="utf-8"?>
<calcChain xmlns="http://schemas.openxmlformats.org/spreadsheetml/2006/main">
  <c r="K21" i="3" l="1"/>
  <c r="L21" i="3" s="1"/>
  <c r="I21" i="3"/>
  <c r="J21" i="3" s="1"/>
  <c r="L20" i="3"/>
  <c r="K20" i="3"/>
  <c r="J20" i="3"/>
  <c r="I20" i="3"/>
  <c r="K19" i="3"/>
  <c r="L19" i="3" s="1"/>
  <c r="I19" i="3"/>
  <c r="J19" i="3" s="1"/>
  <c r="L18" i="3"/>
  <c r="K18" i="3"/>
  <c r="I18" i="3"/>
  <c r="J18" i="3" s="1"/>
  <c r="K17" i="3"/>
  <c r="L17" i="3" s="1"/>
  <c r="I17" i="3"/>
  <c r="J17" i="3" s="1"/>
  <c r="K16" i="3"/>
  <c r="L16" i="3" s="1"/>
  <c r="J16" i="3"/>
  <c r="I16" i="3"/>
  <c r="K15" i="3"/>
  <c r="L15" i="3" s="1"/>
  <c r="I15" i="3"/>
  <c r="J15" i="3" s="1"/>
  <c r="A2" i="3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A2" i="2"/>
  <c r="J37" i="1"/>
  <c r="J36" i="1"/>
  <c r="D3" i="3" s="1" a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A3" i="3" l="1" a="1"/>
  <c r="D34" i="3"/>
  <c r="D30" i="3"/>
  <c r="D26" i="3"/>
  <c r="D22" i="3"/>
  <c r="D18" i="3"/>
  <c r="D14" i="3"/>
  <c r="D10" i="3"/>
  <c r="D6" i="3"/>
  <c r="D3" i="3"/>
  <c r="D37" i="3"/>
  <c r="D32" i="3"/>
  <c r="D27" i="3"/>
  <c r="D21" i="3"/>
  <c r="D16" i="3"/>
  <c r="D11" i="3"/>
  <c r="D5" i="3"/>
  <c r="D36" i="3"/>
  <c r="D31" i="3"/>
  <c r="D25" i="3"/>
  <c r="D20" i="3"/>
  <c r="D15" i="3"/>
  <c r="D9" i="3"/>
  <c r="D4" i="3"/>
  <c r="D35" i="3"/>
  <c r="D29" i="3"/>
  <c r="D24" i="3"/>
  <c r="D19" i="3"/>
  <c r="D13" i="3"/>
  <c r="D8" i="3"/>
  <c r="D17" i="3"/>
  <c r="D33" i="3"/>
  <c r="D12" i="3"/>
  <c r="D28" i="3"/>
  <c r="D7" i="3"/>
  <c r="D23" i="3"/>
  <c r="E3" i="3" a="1"/>
  <c r="E34" i="3" l="1"/>
  <c r="E30" i="3"/>
  <c r="E26" i="3"/>
  <c r="E22" i="3"/>
  <c r="F22" i="3" s="1"/>
  <c r="E18" i="3"/>
  <c r="E14" i="3"/>
  <c r="E10" i="3"/>
  <c r="E6" i="3"/>
  <c r="F6" i="3" s="1"/>
  <c r="E3" i="3"/>
  <c r="E33" i="3"/>
  <c r="E28" i="3"/>
  <c r="F28" i="3" s="1"/>
  <c r="E23" i="3"/>
  <c r="E17" i="3"/>
  <c r="E12" i="3"/>
  <c r="E7" i="3"/>
  <c r="F7" i="3" s="1"/>
  <c r="E37" i="3"/>
  <c r="F37" i="3" s="1"/>
  <c r="E32" i="3"/>
  <c r="E27" i="3"/>
  <c r="E21" i="3"/>
  <c r="E16" i="3"/>
  <c r="F16" i="3" s="1"/>
  <c r="E11" i="3"/>
  <c r="E5" i="3"/>
  <c r="E36" i="3"/>
  <c r="F36" i="3" s="1"/>
  <c r="E31" i="3"/>
  <c r="F31" i="3" s="1"/>
  <c r="E25" i="3"/>
  <c r="E20" i="3"/>
  <c r="E15" i="3"/>
  <c r="F15" i="3" s="1"/>
  <c r="E9" i="3"/>
  <c r="E4" i="3"/>
  <c r="E24" i="3"/>
  <c r="E19" i="3"/>
  <c r="F19" i="3" s="1"/>
  <c r="E35" i="3"/>
  <c r="F35" i="3" s="1"/>
  <c r="E13" i="3"/>
  <c r="E8" i="3"/>
  <c r="E29" i="3"/>
  <c r="F12" i="3"/>
  <c r="F13" i="3"/>
  <c r="F20" i="3"/>
  <c r="F5" i="3"/>
  <c r="F27" i="3"/>
  <c r="F23" i="3"/>
  <c r="F33" i="3"/>
  <c r="F4" i="3"/>
  <c r="F25" i="3"/>
  <c r="F11" i="3"/>
  <c r="F32" i="3"/>
  <c r="F10" i="3"/>
  <c r="F26" i="3"/>
  <c r="F17" i="3"/>
  <c r="F24" i="3"/>
  <c r="F9" i="3"/>
  <c r="F14" i="3"/>
  <c r="F30" i="3"/>
  <c r="F8" i="3"/>
  <c r="F29" i="3"/>
  <c r="F21" i="3"/>
  <c r="I8" i="3"/>
  <c r="J8" i="3" s="1"/>
  <c r="F3" i="3"/>
  <c r="I10" i="3"/>
  <c r="J10" i="3" s="1"/>
  <c r="I7" i="3"/>
  <c r="J7" i="3" s="1"/>
  <c r="I9" i="3"/>
  <c r="J9" i="3" s="1"/>
  <c r="I6" i="3"/>
  <c r="J6" i="3" s="1"/>
  <c r="I5" i="3"/>
  <c r="J5" i="3" s="1"/>
  <c r="I11" i="3"/>
  <c r="J11" i="3" s="1"/>
  <c r="F18" i="3"/>
  <c r="F34" i="3"/>
  <c r="C36" i="3"/>
  <c r="B35" i="3"/>
  <c r="B37" i="3"/>
  <c r="C35" i="3"/>
  <c r="A37" i="3"/>
  <c r="C37" i="3"/>
  <c r="B36" i="3"/>
  <c r="A20" i="2"/>
  <c r="C12" i="1"/>
  <c r="A33" i="1"/>
  <c r="A19" i="2"/>
  <c r="C11" i="1"/>
  <c r="A29" i="1"/>
  <c r="A18" i="2"/>
  <c r="C10" i="1"/>
  <c r="B33" i="2"/>
  <c r="A21" i="2"/>
  <c r="B3" i="2"/>
  <c r="B17" i="2"/>
  <c r="A16" i="2"/>
  <c r="C8" i="1"/>
  <c r="A17" i="1"/>
  <c r="A15" i="2"/>
  <c r="C7" i="1"/>
  <c r="A13" i="1"/>
  <c r="A14" i="2"/>
  <c r="C6" i="1"/>
  <c r="C5" i="2"/>
  <c r="C29" i="1"/>
  <c r="A25" i="2"/>
  <c r="C13" i="1"/>
  <c r="A12" i="2"/>
  <c r="C4" i="1"/>
  <c r="B34" i="2"/>
  <c r="A11" i="2"/>
  <c r="C3" i="1"/>
  <c r="C31" i="2"/>
  <c r="C33" i="2"/>
  <c r="B31" i="2"/>
  <c r="C29" i="2"/>
  <c r="B19" i="2"/>
  <c r="A29" i="2"/>
  <c r="B26" i="2"/>
  <c r="A26" i="1"/>
  <c r="A6" i="2"/>
  <c r="C31" i="1"/>
  <c r="C25" i="1"/>
  <c r="A23" i="2"/>
  <c r="A34" i="1"/>
  <c r="C22" i="2"/>
  <c r="A15" i="1"/>
  <c r="A19" i="1"/>
  <c r="C30" i="1"/>
  <c r="A11" i="1"/>
  <c r="B33" i="1"/>
  <c r="C21" i="2"/>
  <c r="B8" i="2"/>
  <c r="B34" i="1"/>
  <c r="B20" i="2"/>
  <c r="A7" i="2"/>
  <c r="B30" i="1"/>
  <c r="C17" i="2"/>
  <c r="B4" i="2"/>
  <c r="A27" i="1"/>
  <c r="A16" i="1"/>
  <c r="C33" i="1"/>
  <c r="B6" i="1"/>
  <c r="C13" i="2"/>
  <c r="B32" i="1"/>
  <c r="B18" i="1"/>
  <c r="B12" i="2"/>
  <c r="A31" i="1"/>
  <c r="B14" i="1"/>
  <c r="C34" i="2"/>
  <c r="B28" i="1"/>
  <c r="C20" i="2"/>
  <c r="A5" i="1"/>
  <c r="C17" i="1"/>
  <c r="B14" i="2"/>
  <c r="C30" i="2"/>
  <c r="B24" i="1"/>
  <c r="A36" i="2"/>
  <c r="B29" i="2"/>
  <c r="A23" i="1"/>
  <c r="A10" i="2"/>
  <c r="C26" i="2"/>
  <c r="B20" i="1"/>
  <c r="B23" i="2"/>
  <c r="C15" i="2"/>
  <c r="A24" i="1"/>
  <c r="B27" i="2"/>
  <c r="B12" i="1"/>
  <c r="B24" i="2"/>
  <c r="B23" i="1"/>
  <c r="A9" i="2"/>
  <c r="A4" i="1"/>
  <c r="A3" i="2"/>
  <c r="B16" i="1"/>
  <c r="C18" i="2"/>
  <c r="B5" i="2"/>
  <c r="C21" i="1"/>
  <c r="B5" i="1"/>
  <c r="A32" i="1"/>
  <c r="A24" i="2"/>
  <c r="C14" i="2"/>
  <c r="B8" i="1"/>
  <c r="A14" i="1"/>
  <c r="B13" i="2"/>
  <c r="A7" i="1"/>
  <c r="A10" i="1"/>
  <c r="C10" i="2"/>
  <c r="B4" i="1"/>
  <c r="A21" i="1"/>
  <c r="B15" i="1"/>
  <c r="A8" i="2"/>
  <c r="C9" i="1"/>
  <c r="C8" i="2"/>
  <c r="C32" i="2"/>
  <c r="C27" i="2"/>
  <c r="C7" i="2"/>
  <c r="C28" i="2"/>
  <c r="B22" i="2"/>
  <c r="C6" i="2"/>
  <c r="C24" i="2"/>
  <c r="C23" i="2"/>
  <c r="B16" i="2"/>
  <c r="B17" i="1"/>
  <c r="A3" i="1"/>
  <c r="C4" i="2"/>
  <c r="C16" i="2"/>
  <c r="C11" i="2"/>
  <c r="C3" i="2"/>
  <c r="C12" i="2"/>
  <c r="B7" i="2"/>
  <c r="B11" i="1"/>
  <c r="C26" i="1"/>
  <c r="B10" i="2"/>
  <c r="A31" i="2"/>
  <c r="C22" i="1"/>
  <c r="B10" i="1"/>
  <c r="A27" i="2"/>
  <c r="C34" i="1"/>
  <c r="B18" i="2"/>
  <c r="A22" i="1"/>
  <c r="A8" i="1"/>
  <c r="B9" i="2"/>
  <c r="C14" i="1"/>
  <c r="A30" i="1"/>
  <c r="B27" i="1"/>
  <c r="C15" i="1"/>
  <c r="A33" i="2"/>
  <c r="C27" i="1"/>
  <c r="A35" i="2"/>
  <c r="A6" i="1"/>
  <c r="C23" i="1"/>
  <c r="A34" i="2"/>
  <c r="B3" i="1"/>
  <c r="C19" i="1"/>
  <c r="C18" i="1"/>
  <c r="B28" i="2"/>
  <c r="B6" i="2"/>
  <c r="A18" i="1"/>
  <c r="B11" i="2"/>
  <c r="C5" i="1"/>
  <c r="B21" i="2"/>
  <c r="A4" i="2"/>
  <c r="A22" i="2"/>
  <c r="C28" i="1"/>
  <c r="A28" i="1"/>
  <c r="B30" i="2"/>
  <c r="C24" i="1"/>
  <c r="A20" i="1"/>
  <c r="B31" i="1"/>
  <c r="C20" i="1"/>
  <c r="A12" i="1"/>
  <c r="A32" i="2"/>
  <c r="C25" i="2"/>
  <c r="C19" i="2"/>
  <c r="C9" i="2"/>
  <c r="A25" i="1"/>
  <c r="A9" i="1"/>
  <c r="A13" i="2"/>
  <c r="B22" i="1"/>
  <c r="B25" i="2"/>
  <c r="B29" i="1"/>
  <c r="B7" i="1"/>
  <c r="B25" i="1"/>
  <c r="B21" i="1"/>
  <c r="A30" i="2"/>
  <c r="B9" i="1"/>
  <c r="B13" i="1"/>
  <c r="A26" i="2"/>
  <c r="A28" i="2"/>
  <c r="B15" i="2"/>
  <c r="A17" i="2"/>
  <c r="C32" i="1"/>
  <c r="C16" i="1"/>
  <c r="A5" i="2"/>
  <c r="B19" i="1"/>
  <c r="B32" i="2"/>
  <c r="B26" i="1"/>
  <c r="B25" i="3" l="1"/>
  <c r="A22" i="3"/>
  <c r="B32" i="3"/>
  <c r="A4" i="3"/>
  <c r="B5" i="3"/>
  <c r="A13" i="3"/>
  <c r="C18" i="3"/>
  <c r="B21" i="3"/>
  <c r="C22" i="3"/>
  <c r="A5" i="3"/>
  <c r="A3" i="3"/>
  <c r="A23" i="3"/>
  <c r="A9" i="3"/>
  <c r="B11" i="3"/>
  <c r="B9" i="3"/>
  <c r="C9" i="3"/>
  <c r="B24" i="3"/>
  <c r="A6" i="3"/>
  <c r="A17" i="3"/>
  <c r="C19" i="3"/>
  <c r="B27" i="3"/>
  <c r="B26" i="3"/>
  <c r="B6" i="3"/>
  <c r="A29" i="3"/>
  <c r="B15" i="3"/>
  <c r="C25" i="3"/>
  <c r="C15" i="3"/>
  <c r="B19" i="3"/>
  <c r="B28" i="3"/>
  <c r="B18" i="3"/>
  <c r="B23" i="3"/>
  <c r="C29" i="3"/>
  <c r="A28" i="3"/>
  <c r="A32" i="3"/>
  <c r="B31" i="3"/>
  <c r="C26" i="3"/>
  <c r="C33" i="3"/>
  <c r="A26" i="3"/>
  <c r="B7" i="3"/>
  <c r="A10" i="3"/>
  <c r="C31" i="3"/>
  <c r="C12" i="3"/>
  <c r="C3" i="3"/>
  <c r="B29" i="3"/>
  <c r="A11" i="3"/>
  <c r="A27" i="3"/>
  <c r="C11" i="3"/>
  <c r="A36" i="3"/>
  <c r="B34" i="3"/>
  <c r="C16" i="3"/>
  <c r="C4" i="3"/>
  <c r="C30" i="3"/>
  <c r="A12" i="3"/>
  <c r="B14" i="3"/>
  <c r="A25" i="3"/>
  <c r="B16" i="3"/>
  <c r="C23" i="3"/>
  <c r="C20" i="3"/>
  <c r="C5" i="3"/>
  <c r="A34" i="3"/>
  <c r="C24" i="3"/>
  <c r="C6" i="3"/>
  <c r="C34" i="3"/>
  <c r="A14" i="3"/>
  <c r="A30" i="3"/>
  <c r="B22" i="3"/>
  <c r="C28" i="3"/>
  <c r="C7" i="3"/>
  <c r="B12" i="3"/>
  <c r="A15" i="3"/>
  <c r="A31" i="3"/>
  <c r="C27" i="3"/>
  <c r="C32" i="3"/>
  <c r="C8" i="3"/>
  <c r="C13" i="3"/>
  <c r="A16" i="3"/>
  <c r="B17" i="3"/>
  <c r="B10" i="3"/>
  <c r="A8" i="3"/>
  <c r="B3" i="3"/>
  <c r="A21" i="3"/>
  <c r="B30" i="3"/>
  <c r="B33" i="3"/>
  <c r="A35" i="3"/>
  <c r="B4" i="3"/>
  <c r="C10" i="3"/>
  <c r="C17" i="3"/>
  <c r="A18" i="3"/>
  <c r="A7" i="3"/>
  <c r="B13" i="3"/>
  <c r="B20" i="3"/>
  <c r="A19" i="3"/>
  <c r="B8" i="3"/>
  <c r="C14" i="3"/>
  <c r="C21" i="3"/>
  <c r="A20" i="3"/>
  <c r="A33" i="3"/>
  <c r="A24" i="3"/>
  <c r="M8" i="3"/>
  <c r="N8" i="3" s="1"/>
  <c r="M11" i="3"/>
  <c r="N11" i="3" s="1"/>
  <c r="M10" i="3"/>
  <c r="N10" i="3" s="1"/>
  <c r="M7" i="3"/>
  <c r="N7" i="3" s="1"/>
  <c r="M9" i="3"/>
  <c r="N9" i="3" s="1"/>
  <c r="M6" i="3"/>
  <c r="N6" i="3" s="1"/>
  <c r="M5" i="3"/>
  <c r="N5" i="3" s="1"/>
  <c r="K10" i="3"/>
  <c r="L10" i="3" s="1"/>
  <c r="K6" i="3"/>
  <c r="L6" i="3" s="1"/>
  <c r="K9" i="3"/>
  <c r="L9" i="3" s="1"/>
  <c r="K11" i="3"/>
  <c r="L11" i="3" s="1"/>
  <c r="K8" i="3"/>
  <c r="L8" i="3" s="1"/>
  <c r="K5" i="3"/>
  <c r="L5" i="3" s="1"/>
  <c r="K7" i="3"/>
  <c r="L7" i="3" s="1"/>
</calcChain>
</file>

<file path=xl/comments1.xml><?xml version="1.0" encoding="utf-8"?>
<comments xmlns="http://schemas.openxmlformats.org/spreadsheetml/2006/main">
  <authors>
    <author/>
  </authors>
  <commentList>
    <comment ref="D1" authorId="0" shapeId="0">
      <text>
        <r>
          <rPr>
            <sz val="10"/>
            <color rgb="FF000000"/>
            <rFont val="Arial"/>
            <family val="2"/>
          </rPr>
          <t>Lý Minh Châu, Toán</t>
        </r>
      </text>
    </comment>
    <comment ref="A2" authorId="0" shapeId="0">
      <text>
        <r>
          <rPr>
            <sz val="10"/>
            <color rgb="FF000000"/>
            <rFont val="Arial"/>
            <family val="2"/>
          </rPr>
          <t>GVBM nhập tên lớp học</t>
        </r>
      </text>
    </comment>
    <comment ref="D2" authorId="0" shapeId="0">
      <text>
        <r>
          <rPr>
            <sz val="10"/>
            <color rgb="FF000000"/>
            <rFont val="Arial"/>
            <family val="2"/>
          </rPr>
          <t>GVBM nhập điểm ĐĐGtx (hệ số 1)
Trường hợp cần nhập điểm hàng tháng: nhập 1 cột bất kỳ!</t>
        </r>
      </text>
    </comment>
    <comment ref="H2" authorId="0" shapeId="0">
      <text>
        <r>
          <rPr>
            <sz val="10"/>
            <color rgb="FF000000"/>
            <rFont val="Arial"/>
            <family val="2"/>
          </rPr>
          <t>GVBM nhập điểm ĐĐGgk (điểm giữa kỳ)</t>
        </r>
      </text>
    </comment>
    <comment ref="I2" authorId="0" shapeId="0">
      <text>
        <r>
          <rPr>
            <sz val="10"/>
            <color rgb="FF000000"/>
            <rFont val="Arial"/>
            <family val="2"/>
          </rPr>
          <t>GVBM nhập điểm ĐĐGck (điểm thi học kỳ 1)</t>
        </r>
      </text>
    </comment>
    <comment ref="K2" authorId="0" shapeId="0">
      <text>
        <r>
          <rPr>
            <sz val="10"/>
            <color rgb="FF000000"/>
            <rFont val="Arial"/>
            <family val="2"/>
          </rPr>
          <t>GVBM nhập nhận xét, đánh giá quá trình học tập bộ môn của HS trong HK1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D1" authorId="0" shapeId="0">
      <text>
        <r>
          <rPr>
            <sz val="10"/>
            <color rgb="FF000000"/>
            <rFont val="Arial"/>
            <family val="2"/>
          </rPr>
          <t>Nhập tên GVBM, môn học</t>
        </r>
      </text>
    </comment>
    <comment ref="D2" authorId="0" shapeId="0">
      <text>
        <r>
          <rPr>
            <sz val="10"/>
            <color rgb="FF000000"/>
            <rFont val="Arial"/>
            <family val="2"/>
          </rPr>
          <t>GVBM nhập điểm ĐĐGtx (hệ số 1)
Trường hợp cần nhập điểm hàng tháng: nhập 1 cột bất kỳ!</t>
        </r>
      </text>
    </comment>
    <comment ref="H2" authorId="0" shapeId="0">
      <text>
        <r>
          <rPr>
            <sz val="10"/>
            <color rgb="FF000000"/>
            <rFont val="Arial"/>
            <family val="2"/>
          </rPr>
          <t>GVBM nhập điểm ĐĐGgk (điểm giữa kỳ)</t>
        </r>
      </text>
    </comment>
    <comment ref="I2" authorId="0" shapeId="0">
      <text>
        <r>
          <rPr>
            <sz val="10"/>
            <color rgb="FF000000"/>
            <rFont val="Arial"/>
            <family val="2"/>
          </rPr>
          <t>GVBM nhập điểm ĐĐGck (điểm thi học kỳ 2)</t>
        </r>
      </text>
    </comment>
    <comment ref="K2" authorId="0" shapeId="0">
      <text>
        <r>
          <rPr>
            <sz val="10"/>
            <color rgb="FF000000"/>
            <rFont val="Arial"/>
            <family val="2"/>
          </rPr>
          <t>GVBM nhập nhận xét, đánh giá quá trình học tập bộ môn của HS trong HK1</t>
        </r>
      </text>
    </comment>
  </commentList>
</comments>
</file>

<file path=xl/sharedStrings.xml><?xml version="1.0" encoding="utf-8"?>
<sst xmlns="http://schemas.openxmlformats.org/spreadsheetml/2006/main" count="36" uniqueCount="27">
  <si>
    <r>
      <rPr>
        <b/>
        <sz val="12"/>
        <color rgb="FF073763"/>
        <rFont val="Times New Roman"/>
        <family val="1"/>
      </rPr>
      <t xml:space="preserve">TRƯỜNG THPT
</t>
    </r>
    <r>
      <rPr>
        <b/>
        <sz val="14"/>
        <color rgb="FF073763"/>
        <rFont val="Times New Roman"/>
        <family val="1"/>
      </rPr>
      <t>ĐÔNG DƯƠNG</t>
    </r>
  </si>
  <si>
    <t>BẢNG ĐIỂM HỌC KỲ I - MÔN: .........
GVBM: ..........</t>
  </si>
  <si>
    <t>--- 10A1 ---</t>
  </si>
  <si>
    <t>ĐĐGtx (Hệ số 1)</t>
  </si>
  <si>
    <t>ĐĐG
 gk</t>
  </si>
  <si>
    <t>ĐĐG
 ck</t>
  </si>
  <si>
    <t>ĐTB
 mhk</t>
  </si>
  <si>
    <t>Nhận xét (tối đa 250 kí tự)</t>
  </si>
  <si>
    <r>
      <rPr>
        <b/>
        <sz val="12"/>
        <color rgb="FF073763"/>
        <rFont val="Times New Roman"/>
        <family val="1"/>
      </rPr>
      <t xml:space="preserve">TRƯỜNG THPT
</t>
    </r>
    <r>
      <rPr>
        <b/>
        <sz val="14"/>
        <color rgb="FF073763"/>
        <rFont val="Times New Roman"/>
        <family val="1"/>
      </rPr>
      <t>ĐÔNG DƯƠNG</t>
    </r>
  </si>
  <si>
    <t>BẢNG ĐIỂM HỌC KỲ II - MÔN: .........
GVBM: ..........</t>
  </si>
  <si>
    <r>
      <rPr>
        <b/>
        <sz val="12"/>
        <color rgb="FF073763"/>
        <rFont val="Times New Roman"/>
        <family val="1"/>
      </rPr>
      <t xml:space="preserve">TRƯỜNG THPT
</t>
    </r>
    <r>
      <rPr>
        <b/>
        <sz val="14"/>
        <color rgb="FF073763"/>
        <rFont val="Times New Roman"/>
        <family val="1"/>
      </rPr>
      <t>ĐÔNG DƯƠNG</t>
    </r>
  </si>
  <si>
    <t>BẢNG ĐIỂM TỔNG HỢP</t>
  </si>
  <si>
    <t>ĐTB
 hk1</t>
  </si>
  <si>
    <t>ĐTB
 hk2</t>
  </si>
  <si>
    <t>ĐTB
 cn</t>
  </si>
  <si>
    <t>THỐNG KÊ ĐIỂM TB</t>
  </si>
  <si>
    <t>HK1</t>
  </si>
  <si>
    <t>HK2</t>
  </si>
  <si>
    <t>CN</t>
  </si>
  <si>
    <t>&lt; 2.0</t>
  </si>
  <si>
    <t xml:space="preserve">từ 2.0 đến &lt;3.5 </t>
  </si>
  <si>
    <t>từ 3.5 đến &lt;5.0</t>
  </si>
  <si>
    <t>&lt; TB</t>
  </si>
  <si>
    <t>từ 5.0 đến &lt; 6.5</t>
  </si>
  <si>
    <t>từ 6.5 đến &lt; 8.0</t>
  </si>
  <si>
    <t>từ 8.0 trở lên</t>
  </si>
  <si>
    <t>THỐNG KÊ ĐIỂM HỌC KỲ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</si>
</sst>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2">
    <font>
      <sz val="10"/>
      <color rgb="FF000000"/>
      <name val="Arial"/>
    </font>
    <font>
      <b/>
      <sz val="12"/>
      <color rgb="FF073763"/>
      <name val="Times New Roman"/>
      <family val="1"/>
    </font>
    <font>
      <sz val="10"/>
      <name val="Arial"/>
      <family val="2"/>
    </font>
    <font>
      <sz val="11"/>
      <color rgb="FF000000"/>
      <name val="Inconsolata"/>
    </font>
    <font>
      <sz val="12"/>
      <color rgb="FF000000"/>
      <name val="&quot;Times New Roman&quot;"/>
    </font>
    <font>
      <sz val="12"/>
      <color rgb="FF434343"/>
      <name val="Times New Roman"/>
      <family val="1"/>
    </font>
    <font>
      <sz val="11"/>
      <color rgb="FF000000"/>
      <name val="&quot;Times New Roman&quot;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rgb="FF6772AD"/>
      <name val="Times New Roman"/>
      <family val="1"/>
    </font>
    <font>
      <sz val="12"/>
      <color rgb="FF0000FF"/>
      <name val="Times New Roman"/>
      <family val="1"/>
    </font>
    <font>
      <b/>
      <sz val="12"/>
      <color rgb="FF434343"/>
      <name val="Times New Roman"/>
      <family val="1"/>
    </font>
    <font>
      <sz val="12"/>
      <color rgb="FFFF0000"/>
      <name val="Times New Roman"/>
      <family val="1"/>
    </font>
    <font>
      <b/>
      <sz val="14"/>
      <color rgb="FF073763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rgb="FF434343"/>
      <name val="Times New Roman"/>
      <family val="1"/>
    </font>
    <font>
      <b/>
      <sz val="12"/>
      <color rgb="FF073763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11">
    <border>
      <left/>
      <right/>
      <top/>
      <bottom/>
      <diagonal/>
    </border>
    <border>
      <left/>
      <right/>
      <top/>
      <bottom style="double">
        <color rgb="FF073763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7">
    <xf numFmtId="0" fontId="0" fillId="0" borderId="0" xfId="0" applyFont="1" applyAlignment="1"/>
    <xf numFmtId="0" fontId="1" fillId="0" borderId="6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3" fillId="3" borderId="0" xfId="0" applyFont="1" applyFill="1"/>
    <xf numFmtId="0" fontId="4" fillId="4" borderId="3" xfId="0" applyFont="1" applyFill="1" applyBorder="1"/>
    <xf numFmtId="0" fontId="4" fillId="4" borderId="5" xfId="0" applyFont="1" applyFill="1" applyBorder="1"/>
    <xf numFmtId="164" fontId="5" fillId="0" borderId="6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right"/>
    </xf>
    <xf numFmtId="0" fontId="4" fillId="0" borderId="3" xfId="0" applyFont="1" applyBorder="1"/>
    <xf numFmtId="0" fontId="4" fillId="0" borderId="5" xfId="0" applyFont="1" applyBorder="1"/>
    <xf numFmtId="0" fontId="4" fillId="4" borderId="6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center" vertical="center"/>
    </xf>
    <xf numFmtId="0" fontId="6" fillId="0" borderId="3" xfId="0" applyFont="1" applyBorder="1"/>
    <xf numFmtId="0" fontId="6" fillId="0" borderId="5" xfId="0" applyFont="1" applyBorder="1"/>
    <xf numFmtId="0" fontId="7" fillId="4" borderId="6" xfId="0" applyFont="1" applyFill="1" applyBorder="1"/>
    <xf numFmtId="0" fontId="7" fillId="4" borderId="3" xfId="0" applyFont="1" applyFill="1" applyBorder="1"/>
    <xf numFmtId="0" fontId="7" fillId="4" borderId="5" xfId="0" applyFont="1" applyFill="1" applyBorder="1"/>
    <xf numFmtId="0" fontId="7" fillId="0" borderId="6" xfId="0" applyFont="1" applyBorder="1"/>
    <xf numFmtId="0" fontId="7" fillId="0" borderId="3" xfId="0" applyFont="1" applyBorder="1"/>
    <xf numFmtId="0" fontId="7" fillId="0" borderId="5" xfId="0" applyFont="1" applyBorder="1"/>
    <xf numFmtId="0" fontId="8" fillId="4" borderId="3" xfId="0" applyFont="1" applyFill="1" applyBorder="1"/>
    <xf numFmtId="0" fontId="8" fillId="4" borderId="5" xfId="0" applyFont="1" applyFill="1" applyBorder="1"/>
    <xf numFmtId="0" fontId="8" fillId="0" borderId="3" xfId="0" applyFont="1" applyBorder="1"/>
    <xf numFmtId="0" fontId="8" fillId="0" borderId="5" xfId="0" applyFont="1" applyBorder="1"/>
    <xf numFmtId="0" fontId="7" fillId="0" borderId="6" xfId="0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0" fontId="1" fillId="3" borderId="0" xfId="0" applyFont="1" applyFill="1" applyAlignment="1">
      <alignment horizontal="center" vertical="center"/>
    </xf>
    <xf numFmtId="164" fontId="10" fillId="2" borderId="6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9" fontId="5" fillId="3" borderId="3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9" fontId="5" fillId="3" borderId="10" xfId="0" applyNumberFormat="1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9" fontId="5" fillId="3" borderId="6" xfId="0" applyNumberFormat="1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9" fontId="12" fillId="2" borderId="3" xfId="0" applyNumberFormat="1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9" fontId="12" fillId="2" borderId="10" xfId="0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9" fontId="12" fillId="2" borderId="6" xfId="0" applyNumberFormat="1" applyFont="1" applyFill="1" applyBorder="1" applyAlignment="1">
      <alignment horizontal="center" vertical="center"/>
    </xf>
    <xf numFmtId="9" fontId="5" fillId="3" borderId="0" xfId="0" applyNumberFormat="1" applyFont="1" applyFill="1" applyAlignment="1">
      <alignment horizontal="center" vertical="center"/>
    </xf>
    <xf numFmtId="9" fontId="5" fillId="2" borderId="1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9" fontId="12" fillId="0" borderId="0" xfId="0" applyNumberFormat="1" applyFont="1" applyAlignment="1">
      <alignment horizontal="center" vertical="center"/>
    </xf>
    <xf numFmtId="0" fontId="9" fillId="3" borderId="0" xfId="0" applyFont="1" applyFill="1" applyAlignment="1"/>
    <xf numFmtId="0" fontId="0" fillId="0" borderId="0" xfId="0" applyFont="1" applyFill="1" applyAlignment="1"/>
    <xf numFmtId="0" fontId="17" fillId="0" borderId="6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 wrapText="1"/>
    </xf>
    <xf numFmtId="0" fontId="19" fillId="0" borderId="0" xfId="0" applyFont="1" applyFill="1" applyAlignment="1"/>
    <xf numFmtId="0" fontId="20" fillId="0" borderId="0" xfId="0" applyFont="1" applyFill="1"/>
    <xf numFmtId="0" fontId="15" fillId="0" borderId="3" xfId="0" applyFont="1" applyFill="1" applyBorder="1"/>
    <xf numFmtId="0" fontId="15" fillId="0" borderId="5" xfId="0" applyFont="1" applyFill="1" applyBorder="1"/>
    <xf numFmtId="164" fontId="16" fillId="0" borderId="6" xfId="0" applyNumberFormat="1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right"/>
    </xf>
    <xf numFmtId="0" fontId="16" fillId="0" borderId="6" xfId="0" applyFont="1" applyFill="1" applyBorder="1" applyAlignment="1">
      <alignment horizontal="center" vertical="center"/>
    </xf>
    <xf numFmtId="0" fontId="20" fillId="0" borderId="3" xfId="0" applyFont="1" applyFill="1" applyBorder="1"/>
    <xf numFmtId="0" fontId="20" fillId="0" borderId="5" xfId="0" applyFont="1" applyFill="1" applyBorder="1"/>
    <xf numFmtId="0" fontId="14" fillId="0" borderId="6" xfId="0" applyFont="1" applyFill="1" applyBorder="1"/>
    <xf numFmtId="0" fontId="14" fillId="0" borderId="3" xfId="0" applyFont="1" applyFill="1" applyBorder="1"/>
    <xf numFmtId="0" fontId="14" fillId="0" borderId="5" xfId="0" applyFont="1" applyFill="1" applyBorder="1"/>
    <xf numFmtId="0" fontId="7" fillId="0" borderId="6" xfId="0" applyFont="1" applyFill="1" applyBorder="1"/>
    <xf numFmtId="0" fontId="8" fillId="0" borderId="3" xfId="0" applyFont="1" applyFill="1" applyBorder="1"/>
    <xf numFmtId="0" fontId="8" fillId="0" borderId="5" xfId="0" applyFont="1" applyFill="1" applyBorder="1"/>
    <xf numFmtId="164" fontId="5" fillId="0" borderId="6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center"/>
    </xf>
    <xf numFmtId="0" fontId="9" fillId="0" borderId="0" xfId="0" applyFont="1" applyFill="1" applyAlignment="1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/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/>
    <xf numFmtId="0" fontId="17" fillId="0" borderId="2" xfId="0" applyFont="1" applyFill="1" applyBorder="1" applyAlignment="1">
      <alignment horizontal="center" vertical="center"/>
    </xf>
    <xf numFmtId="0" fontId="18" fillId="0" borderId="2" xfId="0" applyFont="1" applyFill="1" applyBorder="1"/>
    <xf numFmtId="0" fontId="17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/>
    <xf numFmtId="0" fontId="18" fillId="0" borderId="5" xfId="0" applyFont="1" applyFill="1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1" fillId="0" borderId="2" xfId="0" applyFont="1" applyBorder="1" applyAlignment="1">
      <alignment horizontal="center" vertical="center"/>
    </xf>
    <xf numFmtId="0" fontId="2" fillId="0" borderId="2" xfId="0" applyFont="1" applyBorder="1"/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1" fillId="3" borderId="0" xfId="0" applyFont="1" applyFill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2" fillId="0" borderId="8" xfId="0" applyFont="1" applyBorder="1"/>
    <xf numFmtId="0" fontId="11" fillId="3" borderId="4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</cellXfs>
  <cellStyles count="1">
    <cellStyle name="Normal" xfId="0" builtinId="0"/>
  </cellStyles>
  <dxfs count="13"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K38"/>
  <sheetViews>
    <sheetView showGridLines="0" tabSelected="1" workbookViewId="0">
      <pane xSplit="3" ySplit="2" topLeftCell="D25" activePane="bottomRight" state="frozen"/>
      <selection pane="topRight" activeCell="D1" sqref="D1"/>
      <selection pane="bottomLeft" activeCell="A3" sqref="A3"/>
      <selection pane="bottomRight" activeCell="G3" sqref="G3"/>
    </sheetView>
  </sheetViews>
  <sheetFormatPr defaultColWidth="14.42578125" defaultRowHeight="15.75" customHeight="1"/>
  <cols>
    <col min="1" max="1" width="5.5703125" style="55" customWidth="1"/>
    <col min="2" max="2" width="20.5703125" style="55" customWidth="1"/>
    <col min="3" max="3" width="7.5703125" style="55" customWidth="1"/>
    <col min="4" max="11" width="6.7109375" style="55" customWidth="1"/>
    <col min="12" max="16384" width="14.42578125" style="55"/>
  </cols>
  <sheetData>
    <row r="1" spans="1:11" ht="18.75">
      <c r="A1" s="84" t="s">
        <v>0</v>
      </c>
      <c r="B1" s="85"/>
      <c r="C1" s="85"/>
      <c r="D1" s="86" t="s">
        <v>1</v>
      </c>
      <c r="E1" s="87"/>
      <c r="F1" s="87"/>
      <c r="G1" s="87"/>
      <c r="H1" s="87"/>
      <c r="I1" s="87"/>
      <c r="J1" s="87"/>
      <c r="K1" s="87"/>
    </row>
    <row r="2" spans="1:11" s="58" customFormat="1" ht="21.75" customHeight="1">
      <c r="A2" s="88" t="s">
        <v>2</v>
      </c>
      <c r="B2" s="89"/>
      <c r="C2" s="89"/>
      <c r="D2" s="90"/>
      <c r="E2" s="91"/>
      <c r="F2" s="91"/>
      <c r="G2" s="92"/>
      <c r="H2" s="56"/>
      <c r="I2" s="56"/>
      <c r="J2" s="56"/>
      <c r="K2" s="57"/>
    </row>
    <row r="3" spans="1:11" s="58" customFormat="1" ht="21.75" customHeight="1">
      <c r="A3" s="59">
        <f ca="1">IFERROR(__xludf.DUMMYFUNCTION("IMPORTRANGE(""1UETkdhr13GTZNq5d7kzIVwYAa0hHJ-khDOGRW440WJE"",""A4:C38"")"),1)</f>
        <v>1</v>
      </c>
      <c r="B3" s="60" t="str">
        <f ca="1">IFERROR(__xludf.DUMMYFUNCTION("""COMPUTED_VALUE"""),"Chu Mai")</f>
        <v>Chu Mai</v>
      </c>
      <c r="C3" s="61" t="str">
        <f ca="1">IFERROR(__xludf.DUMMYFUNCTION("""COMPUTED_VALUE"""),"Anh")</f>
        <v>Anh</v>
      </c>
      <c r="D3" s="62"/>
      <c r="E3" s="62"/>
      <c r="F3" s="62"/>
      <c r="G3" s="62">
        <v>6.6</v>
      </c>
      <c r="H3" s="62"/>
      <c r="I3" s="62"/>
      <c r="J3" s="62">
        <f t="shared" ref="J3:J37" si="0">IF(COUNTA(D3:I3)=0,"",ROUND(AVERAGE(D3:I3,H3:I3,I3),1))</f>
        <v>6.6</v>
      </c>
      <c r="K3" s="63"/>
    </row>
    <row r="4" spans="1:11" s="58" customFormat="1" ht="21.75" customHeight="1">
      <c r="A4" s="64">
        <f ca="1">IFERROR(__xludf.DUMMYFUNCTION("""COMPUTED_VALUE"""),2)</f>
        <v>2</v>
      </c>
      <c r="B4" s="60" t="str">
        <f ca="1">IFERROR(__xludf.DUMMYFUNCTION("""COMPUTED_VALUE"""),"Lê Lâm")</f>
        <v>Lê Lâm</v>
      </c>
      <c r="C4" s="61" t="str">
        <f ca="1">IFERROR(__xludf.DUMMYFUNCTION("""COMPUTED_VALUE"""),"Anh")</f>
        <v>Anh</v>
      </c>
      <c r="D4" s="62">
        <v>8.4000000000000021</v>
      </c>
      <c r="E4" s="62">
        <v>8</v>
      </c>
      <c r="F4" s="62"/>
      <c r="G4" s="62">
        <v>6.8</v>
      </c>
      <c r="H4" s="62"/>
      <c r="I4" s="62"/>
      <c r="J4" s="62">
        <f t="shared" si="0"/>
        <v>7.7</v>
      </c>
      <c r="K4" s="63"/>
    </row>
    <row r="5" spans="1:11" s="58" customFormat="1" ht="21.75" customHeight="1">
      <c r="A5" s="64">
        <f ca="1">IFERROR(__xludf.DUMMYFUNCTION("""COMPUTED_VALUE"""),3)</f>
        <v>3</v>
      </c>
      <c r="B5" s="60" t="str">
        <f ca="1">IFERROR(__xludf.DUMMYFUNCTION("""COMPUTED_VALUE"""),"Nguyễn Hoàng Việt")</f>
        <v>Nguyễn Hoàng Việt</v>
      </c>
      <c r="C5" s="61" t="str">
        <f ca="1">IFERROR(__xludf.DUMMYFUNCTION("""COMPUTED_VALUE"""),"Anh")</f>
        <v>Anh</v>
      </c>
      <c r="D5" s="62">
        <v>5.2</v>
      </c>
      <c r="E5" s="62">
        <v>6</v>
      </c>
      <c r="F5" s="62"/>
      <c r="G5" s="62">
        <v>4</v>
      </c>
      <c r="H5" s="62"/>
      <c r="I5" s="62"/>
      <c r="J5" s="62">
        <f t="shared" si="0"/>
        <v>5.0999999999999996</v>
      </c>
      <c r="K5" s="63"/>
    </row>
    <row r="6" spans="1:11" s="58" customFormat="1" ht="21.75" customHeight="1">
      <c r="A6" s="64">
        <f ca="1">IFERROR(__xludf.DUMMYFUNCTION("""COMPUTED_VALUE"""),4)</f>
        <v>4</v>
      </c>
      <c r="B6" s="60" t="str">
        <f ca="1">IFERROR(__xludf.DUMMYFUNCTION("""COMPUTED_VALUE"""),"Nguyễn Lê Ngọc")</f>
        <v>Nguyễn Lê Ngọc</v>
      </c>
      <c r="C6" s="61" t="str">
        <f ca="1">IFERROR(__xludf.DUMMYFUNCTION("""COMPUTED_VALUE"""),"Băng")</f>
        <v>Băng</v>
      </c>
      <c r="D6" s="62">
        <v>0</v>
      </c>
      <c r="E6" s="62">
        <v>5</v>
      </c>
      <c r="F6" s="62"/>
      <c r="G6" s="62">
        <v>6.2</v>
      </c>
      <c r="H6" s="62"/>
      <c r="I6" s="62"/>
      <c r="J6" s="62">
        <f t="shared" si="0"/>
        <v>3.7</v>
      </c>
      <c r="K6" s="63"/>
    </row>
    <row r="7" spans="1:11" s="58" customFormat="1" ht="21.75" customHeight="1">
      <c r="A7" s="64">
        <f ca="1">IFERROR(__xludf.DUMMYFUNCTION("""COMPUTED_VALUE"""),5)</f>
        <v>5</v>
      </c>
      <c r="B7" s="60" t="str">
        <f ca="1">IFERROR(__xludf.DUMMYFUNCTION("""COMPUTED_VALUE"""),"Nguyễn Minh")</f>
        <v>Nguyễn Minh</v>
      </c>
      <c r="C7" s="61" t="str">
        <f ca="1">IFERROR(__xludf.DUMMYFUNCTION("""COMPUTED_VALUE"""),"Dũng")</f>
        <v>Dũng</v>
      </c>
      <c r="D7" s="62"/>
      <c r="E7" s="62">
        <v>9</v>
      </c>
      <c r="F7" s="62"/>
      <c r="G7" s="62">
        <v>6.6</v>
      </c>
      <c r="H7" s="62"/>
      <c r="I7" s="62"/>
      <c r="J7" s="62">
        <f t="shared" si="0"/>
        <v>7.8</v>
      </c>
      <c r="K7" s="63"/>
    </row>
    <row r="8" spans="1:11" s="58" customFormat="1" ht="21.75" customHeight="1">
      <c r="A8" s="64">
        <f ca="1">IFERROR(__xludf.DUMMYFUNCTION("""COMPUTED_VALUE"""),6)</f>
        <v>6</v>
      </c>
      <c r="B8" s="60" t="str">
        <f ca="1">IFERROR(__xludf.DUMMYFUNCTION("""COMPUTED_VALUE"""),"Nguyễn Phan Minh")</f>
        <v>Nguyễn Phan Minh</v>
      </c>
      <c r="C8" s="61" t="str">
        <f ca="1">IFERROR(__xludf.DUMMYFUNCTION("""COMPUTED_VALUE"""),"Duy")</f>
        <v>Duy</v>
      </c>
      <c r="D8" s="62">
        <v>0</v>
      </c>
      <c r="E8" s="62"/>
      <c r="F8" s="62">
        <v>7</v>
      </c>
      <c r="G8" s="62">
        <v>3.4</v>
      </c>
      <c r="H8" s="62"/>
      <c r="I8" s="62"/>
      <c r="J8" s="62">
        <f t="shared" si="0"/>
        <v>3.5</v>
      </c>
      <c r="K8" s="63"/>
    </row>
    <row r="9" spans="1:11" s="58" customFormat="1" ht="21.75" customHeight="1">
      <c r="A9" s="64">
        <f ca="1">IFERROR(__xludf.DUMMYFUNCTION("""COMPUTED_VALUE"""),7)</f>
        <v>7</v>
      </c>
      <c r="B9" s="60" t="str">
        <f ca="1">IFERROR(__xludf.DUMMYFUNCTION("""COMPUTED_VALUE"""),"Hoàng Huỳnh Nhật")</f>
        <v>Hoàng Huỳnh Nhật</v>
      </c>
      <c r="C9" s="61" t="str">
        <f ca="1">IFERROR(__xludf.DUMMYFUNCTION("""COMPUTED_VALUE"""),"Hào")</f>
        <v>Hào</v>
      </c>
      <c r="D9" s="62"/>
      <c r="E9" s="62"/>
      <c r="F9" s="62"/>
      <c r="G9" s="62"/>
      <c r="H9" s="62"/>
      <c r="I9" s="62"/>
      <c r="J9" s="65" t="str">
        <f t="shared" si="0"/>
        <v/>
      </c>
      <c r="K9" s="63"/>
    </row>
    <row r="10" spans="1:11" s="58" customFormat="1" ht="21.75" customHeight="1">
      <c r="A10" s="64">
        <f ca="1">IFERROR(__xludf.DUMMYFUNCTION("""COMPUTED_VALUE"""),8)</f>
        <v>8</v>
      </c>
      <c r="B10" s="60" t="str">
        <f ca="1">IFERROR(__xludf.DUMMYFUNCTION("""COMPUTED_VALUE"""),"Mai Nguyễn Bảo")</f>
        <v>Mai Nguyễn Bảo</v>
      </c>
      <c r="C10" s="61" t="str">
        <f ca="1">IFERROR(__xludf.DUMMYFUNCTION("""COMPUTED_VALUE"""),"Hân")</f>
        <v>Hân</v>
      </c>
      <c r="D10" s="62">
        <v>4.4000000000000004</v>
      </c>
      <c r="E10" s="62">
        <v>5</v>
      </c>
      <c r="F10" s="62"/>
      <c r="G10" s="62"/>
      <c r="H10" s="62"/>
      <c r="I10" s="62"/>
      <c r="J10" s="62">
        <f t="shared" si="0"/>
        <v>4.7</v>
      </c>
      <c r="K10" s="63"/>
    </row>
    <row r="11" spans="1:11" s="58" customFormat="1" ht="21.75" customHeight="1">
      <c r="A11" s="64">
        <f ca="1">IFERROR(__xludf.DUMMYFUNCTION("""COMPUTED_VALUE"""),9)</f>
        <v>9</v>
      </c>
      <c r="B11" s="60" t="str">
        <f ca="1">IFERROR(__xludf.DUMMYFUNCTION("""COMPUTED_VALUE"""),"Mai Huỳnh Mỹ")</f>
        <v>Mai Huỳnh Mỹ</v>
      </c>
      <c r="C11" s="61" t="str">
        <f ca="1">IFERROR(__xludf.DUMMYFUNCTION("""COMPUTED_VALUE"""),"Hiền")</f>
        <v>Hiền</v>
      </c>
      <c r="D11" s="62">
        <v>8.4000000000000021</v>
      </c>
      <c r="E11" s="62">
        <v>9</v>
      </c>
      <c r="F11" s="62"/>
      <c r="G11" s="62">
        <v>7</v>
      </c>
      <c r="H11" s="62"/>
      <c r="I11" s="62"/>
      <c r="J11" s="62">
        <f t="shared" si="0"/>
        <v>8.1</v>
      </c>
      <c r="K11" s="63"/>
    </row>
    <row r="12" spans="1:11" s="58" customFormat="1" ht="21.75" customHeight="1">
      <c r="A12" s="64">
        <f ca="1">IFERROR(__xludf.DUMMYFUNCTION("""COMPUTED_VALUE"""),10)</f>
        <v>10</v>
      </c>
      <c r="B12" s="60" t="str">
        <f ca="1">IFERROR(__xludf.DUMMYFUNCTION("""COMPUTED_VALUE"""),"Trần Đỗ Viết")</f>
        <v>Trần Đỗ Viết</v>
      </c>
      <c r="C12" s="61" t="str">
        <f ca="1">IFERROR(__xludf.DUMMYFUNCTION("""COMPUTED_VALUE"""),"Hòa")</f>
        <v>Hòa</v>
      </c>
      <c r="D12" s="62">
        <v>5.2</v>
      </c>
      <c r="E12" s="62">
        <v>5</v>
      </c>
      <c r="F12" s="62"/>
      <c r="G12" s="62">
        <v>6.8</v>
      </c>
      <c r="H12" s="62"/>
      <c r="I12" s="62"/>
      <c r="J12" s="62">
        <f t="shared" si="0"/>
        <v>5.7</v>
      </c>
      <c r="K12" s="63"/>
    </row>
    <row r="13" spans="1:11" s="58" customFormat="1" ht="21.75" customHeight="1">
      <c r="A13" s="64">
        <f ca="1">IFERROR(__xludf.DUMMYFUNCTION("""COMPUTED_VALUE"""),11)</f>
        <v>11</v>
      </c>
      <c r="B13" s="60" t="str">
        <f ca="1">IFERROR(__xludf.DUMMYFUNCTION("""COMPUTED_VALUE"""),"Huỳnh Minh")</f>
        <v>Huỳnh Minh</v>
      </c>
      <c r="C13" s="61" t="str">
        <f ca="1">IFERROR(__xludf.DUMMYFUNCTION("""COMPUTED_VALUE"""),"Huy")</f>
        <v>Huy</v>
      </c>
      <c r="D13" s="62">
        <v>6.8000000000000016</v>
      </c>
      <c r="E13" s="62">
        <v>8</v>
      </c>
      <c r="F13" s="62"/>
      <c r="G13" s="62">
        <v>6.2</v>
      </c>
      <c r="H13" s="62"/>
      <c r="I13" s="62"/>
      <c r="J13" s="62">
        <f t="shared" si="0"/>
        <v>7</v>
      </c>
      <c r="K13" s="63"/>
    </row>
    <row r="14" spans="1:11" s="58" customFormat="1" ht="21.75" customHeight="1">
      <c r="A14" s="64">
        <f ca="1">IFERROR(__xludf.DUMMYFUNCTION("""COMPUTED_VALUE"""),12)</f>
        <v>12</v>
      </c>
      <c r="B14" s="60" t="str">
        <f ca="1">IFERROR(__xludf.DUMMYFUNCTION("""COMPUTED_VALUE"""),"Đoàn Đình Nguyên")</f>
        <v>Đoàn Đình Nguyên</v>
      </c>
      <c r="C14" s="61" t="str">
        <f ca="1">IFERROR(__xludf.DUMMYFUNCTION("""COMPUTED_VALUE"""),"Khang")</f>
        <v>Khang</v>
      </c>
      <c r="D14" s="62">
        <v>0</v>
      </c>
      <c r="E14" s="62">
        <v>10</v>
      </c>
      <c r="F14" s="62"/>
      <c r="G14" s="62">
        <v>5.8</v>
      </c>
      <c r="H14" s="62"/>
      <c r="I14" s="62"/>
      <c r="J14" s="62">
        <f t="shared" si="0"/>
        <v>5.3</v>
      </c>
      <c r="K14" s="63"/>
    </row>
    <row r="15" spans="1:11" s="58" customFormat="1" ht="21.75" customHeight="1">
      <c r="A15" s="64">
        <f ca="1">IFERROR(__xludf.DUMMYFUNCTION("""COMPUTED_VALUE"""),13)</f>
        <v>13</v>
      </c>
      <c r="B15" s="60" t="str">
        <f ca="1">IFERROR(__xludf.DUMMYFUNCTION("""COMPUTED_VALUE"""),"Phan Đình Quốc")</f>
        <v>Phan Đình Quốc</v>
      </c>
      <c r="C15" s="61" t="str">
        <f ca="1">IFERROR(__xludf.DUMMYFUNCTION("""COMPUTED_VALUE"""),"Khánh")</f>
        <v>Khánh</v>
      </c>
      <c r="D15" s="62">
        <v>9.2000000000000028</v>
      </c>
      <c r="E15" s="62">
        <v>10</v>
      </c>
      <c r="F15" s="62"/>
      <c r="G15" s="62">
        <v>8</v>
      </c>
      <c r="H15" s="62"/>
      <c r="I15" s="62"/>
      <c r="J15" s="62">
        <f t="shared" si="0"/>
        <v>9.1</v>
      </c>
      <c r="K15" s="63"/>
    </row>
    <row r="16" spans="1:11" s="58" customFormat="1" ht="21.75" customHeight="1">
      <c r="A16" s="64">
        <f ca="1">IFERROR(__xludf.DUMMYFUNCTION("""COMPUTED_VALUE"""),14)</f>
        <v>14</v>
      </c>
      <c r="B16" s="60" t="str">
        <f ca="1">IFERROR(__xludf.DUMMYFUNCTION("""COMPUTED_VALUE"""),"Võ Lâm Tuấn")</f>
        <v>Võ Lâm Tuấn</v>
      </c>
      <c r="C16" s="61" t="str">
        <f ca="1">IFERROR(__xludf.DUMMYFUNCTION("""COMPUTED_VALUE"""),"Kiệt")</f>
        <v>Kiệt</v>
      </c>
      <c r="D16" s="62">
        <v>9.2000000000000028</v>
      </c>
      <c r="E16" s="62">
        <v>10</v>
      </c>
      <c r="F16" s="62"/>
      <c r="G16" s="62">
        <v>9.8000000000000007</v>
      </c>
      <c r="H16" s="62"/>
      <c r="I16" s="62"/>
      <c r="J16" s="62">
        <f t="shared" si="0"/>
        <v>9.6999999999999993</v>
      </c>
      <c r="K16" s="63"/>
    </row>
    <row r="17" spans="1:11" s="58" customFormat="1" ht="21.75" customHeight="1">
      <c r="A17" s="64">
        <f ca="1">IFERROR(__xludf.DUMMYFUNCTION("""COMPUTED_VALUE"""),15)</f>
        <v>15</v>
      </c>
      <c r="B17" s="60" t="str">
        <f ca="1">IFERROR(__xludf.DUMMYFUNCTION("""COMPUTED_VALUE"""),"Nguyễn Bá Triệu")</f>
        <v>Nguyễn Bá Triệu</v>
      </c>
      <c r="C17" s="61" t="str">
        <f ca="1">IFERROR(__xludf.DUMMYFUNCTION("""COMPUTED_VALUE"""),"Lâm")</f>
        <v>Lâm</v>
      </c>
      <c r="D17" s="62">
        <v>7.200000000000002</v>
      </c>
      <c r="E17" s="62">
        <v>9</v>
      </c>
      <c r="F17" s="62"/>
      <c r="G17" s="62">
        <v>7</v>
      </c>
      <c r="H17" s="62"/>
      <c r="I17" s="62"/>
      <c r="J17" s="62">
        <f t="shared" si="0"/>
        <v>7.7</v>
      </c>
      <c r="K17" s="63"/>
    </row>
    <row r="18" spans="1:11" s="58" customFormat="1" ht="21.75" customHeight="1">
      <c r="A18" s="64">
        <f ca="1">IFERROR(__xludf.DUMMYFUNCTION("""COMPUTED_VALUE"""),16)</f>
        <v>16</v>
      </c>
      <c r="B18" s="60" t="str">
        <f ca="1">IFERROR(__xludf.DUMMYFUNCTION("""COMPUTED_VALUE"""),"Nguyễn Hoàng Gia")</f>
        <v>Nguyễn Hoàng Gia</v>
      </c>
      <c r="C18" s="61" t="str">
        <f ca="1">IFERROR(__xludf.DUMMYFUNCTION("""COMPUTED_VALUE"""),"Linh")</f>
        <v>Linh</v>
      </c>
      <c r="D18" s="62">
        <v>6.4000000000000012</v>
      </c>
      <c r="E18" s="62">
        <v>7</v>
      </c>
      <c r="F18" s="62">
        <v>8</v>
      </c>
      <c r="G18" s="62">
        <v>7</v>
      </c>
      <c r="H18" s="62"/>
      <c r="I18" s="62"/>
      <c r="J18" s="62">
        <f t="shared" si="0"/>
        <v>7.1</v>
      </c>
      <c r="K18" s="63"/>
    </row>
    <row r="19" spans="1:11" s="58" customFormat="1" ht="21.75" customHeight="1">
      <c r="A19" s="64">
        <f ca="1">IFERROR(__xludf.DUMMYFUNCTION("""COMPUTED_VALUE"""),17)</f>
        <v>17</v>
      </c>
      <c r="B19" s="60" t="str">
        <f ca="1">IFERROR(__xludf.DUMMYFUNCTION("""COMPUTED_VALUE"""),"Tạ Phương")</f>
        <v>Tạ Phương</v>
      </c>
      <c r="C19" s="61" t="str">
        <f ca="1">IFERROR(__xludf.DUMMYFUNCTION("""COMPUTED_VALUE"""),"Linh")</f>
        <v>Linh</v>
      </c>
      <c r="D19" s="62">
        <v>0</v>
      </c>
      <c r="E19" s="62"/>
      <c r="F19" s="62">
        <v>8</v>
      </c>
      <c r="G19" s="62">
        <v>4.5999999999999996</v>
      </c>
      <c r="H19" s="62"/>
      <c r="I19" s="62"/>
      <c r="J19" s="62">
        <f t="shared" si="0"/>
        <v>4.2</v>
      </c>
      <c r="K19" s="63"/>
    </row>
    <row r="20" spans="1:11" s="58" customFormat="1" ht="21.75" customHeight="1">
      <c r="A20" s="64">
        <f ca="1">IFERROR(__xludf.DUMMYFUNCTION("""COMPUTED_VALUE"""),18)</f>
        <v>18</v>
      </c>
      <c r="B20" s="60" t="str">
        <f ca="1">IFERROR(__xludf.DUMMYFUNCTION("""COMPUTED_VALUE"""),"Trần Thành")</f>
        <v>Trần Thành</v>
      </c>
      <c r="C20" s="61" t="str">
        <f ca="1">IFERROR(__xludf.DUMMYFUNCTION("""COMPUTED_VALUE"""),"Lộc")</f>
        <v>Lộc</v>
      </c>
      <c r="D20" s="62">
        <v>7.200000000000002</v>
      </c>
      <c r="E20" s="62">
        <v>7</v>
      </c>
      <c r="F20" s="62"/>
      <c r="G20" s="62">
        <v>8.6</v>
      </c>
      <c r="H20" s="62"/>
      <c r="I20" s="62"/>
      <c r="J20" s="62">
        <f t="shared" si="0"/>
        <v>7.6</v>
      </c>
      <c r="K20" s="63"/>
    </row>
    <row r="21" spans="1:11" s="58" customFormat="1" ht="21.75" customHeight="1">
      <c r="A21" s="64">
        <f ca="1">IFERROR(__xludf.DUMMYFUNCTION("""COMPUTED_VALUE"""),19)</f>
        <v>19</v>
      </c>
      <c r="B21" s="60" t="str">
        <f ca="1">IFERROR(__xludf.DUMMYFUNCTION("""COMPUTED_VALUE"""),"Nguyễn Lê Ngọc")</f>
        <v>Nguyễn Lê Ngọc</v>
      </c>
      <c r="C21" s="61" t="str">
        <f ca="1">IFERROR(__xludf.DUMMYFUNCTION("""COMPUTED_VALUE"""),"Nghi")</f>
        <v>Nghi</v>
      </c>
      <c r="D21" s="62"/>
      <c r="E21" s="62"/>
      <c r="F21" s="62"/>
      <c r="G21" s="62">
        <v>7.6</v>
      </c>
      <c r="H21" s="62"/>
      <c r="I21" s="62"/>
      <c r="J21" s="62">
        <f t="shared" si="0"/>
        <v>7.6</v>
      </c>
      <c r="K21" s="63"/>
    </row>
    <row r="22" spans="1:11" s="58" customFormat="1" ht="21.75" customHeight="1">
      <c r="A22" s="64">
        <f ca="1">IFERROR(__xludf.DUMMYFUNCTION("""COMPUTED_VALUE"""),20)</f>
        <v>20</v>
      </c>
      <c r="B22" s="60" t="str">
        <f ca="1">IFERROR(__xludf.DUMMYFUNCTION("""COMPUTED_VALUE"""),"Trương Thị Mẫn")</f>
        <v>Trương Thị Mẫn</v>
      </c>
      <c r="C22" s="61" t="str">
        <f ca="1">IFERROR(__xludf.DUMMYFUNCTION("""COMPUTED_VALUE"""),"Nghi")</f>
        <v>Nghi</v>
      </c>
      <c r="D22" s="62"/>
      <c r="E22" s="62"/>
      <c r="F22" s="62"/>
      <c r="G22" s="62">
        <v>3.4</v>
      </c>
      <c r="H22" s="62"/>
      <c r="I22" s="62"/>
      <c r="J22" s="62">
        <f t="shared" si="0"/>
        <v>3.4</v>
      </c>
      <c r="K22" s="63"/>
    </row>
    <row r="23" spans="1:11" s="58" customFormat="1" ht="21.75" customHeight="1">
      <c r="A23" s="64">
        <f ca="1">IFERROR(__xludf.DUMMYFUNCTION("""COMPUTED_VALUE"""),21)</f>
        <v>21</v>
      </c>
      <c r="B23" s="60" t="str">
        <f ca="1">IFERROR(__xludf.DUMMYFUNCTION("""COMPUTED_VALUE"""),"Nguyễn Võ Yến")</f>
        <v>Nguyễn Võ Yến</v>
      </c>
      <c r="C23" s="61" t="str">
        <f ca="1">IFERROR(__xludf.DUMMYFUNCTION("""COMPUTED_VALUE"""),"Nhi")</f>
        <v>Nhi</v>
      </c>
      <c r="D23" s="62">
        <v>6.0000000000000009</v>
      </c>
      <c r="E23" s="62">
        <v>9</v>
      </c>
      <c r="F23" s="62"/>
      <c r="G23" s="62">
        <v>7</v>
      </c>
      <c r="H23" s="62"/>
      <c r="I23" s="62"/>
      <c r="J23" s="62">
        <f t="shared" si="0"/>
        <v>7.3</v>
      </c>
      <c r="K23" s="63"/>
    </row>
    <row r="24" spans="1:11" s="58" customFormat="1" ht="21.75" customHeight="1">
      <c r="A24" s="64">
        <f ca="1">IFERROR(__xludf.DUMMYFUNCTION("""COMPUTED_VALUE"""),22)</f>
        <v>22</v>
      </c>
      <c r="B24" s="60" t="str">
        <f ca="1">IFERROR(__xludf.DUMMYFUNCTION("""COMPUTED_VALUE"""),"Võ Ngọc Tâm")</f>
        <v>Võ Ngọc Tâm</v>
      </c>
      <c r="C24" s="61" t="str">
        <f ca="1">IFERROR(__xludf.DUMMYFUNCTION("""COMPUTED_VALUE"""),"Nhi")</f>
        <v>Nhi</v>
      </c>
      <c r="D24" s="62">
        <v>5.2</v>
      </c>
      <c r="E24" s="62">
        <v>3</v>
      </c>
      <c r="F24" s="62"/>
      <c r="G24" s="62">
        <v>4.4000000000000004</v>
      </c>
      <c r="H24" s="62"/>
      <c r="I24" s="62"/>
      <c r="J24" s="62">
        <f t="shared" si="0"/>
        <v>4.2</v>
      </c>
      <c r="K24" s="63"/>
    </row>
    <row r="25" spans="1:11" s="58" customFormat="1" ht="21.75" customHeight="1">
      <c r="A25" s="64">
        <f ca="1">IFERROR(__xludf.DUMMYFUNCTION("""COMPUTED_VALUE"""),23)</f>
        <v>23</v>
      </c>
      <c r="B25" s="60" t="str">
        <f ca="1">IFERROR(__xludf.DUMMYFUNCTION("""COMPUTED_VALUE"""),"Đỗ Thiên")</f>
        <v>Đỗ Thiên</v>
      </c>
      <c r="C25" s="61" t="str">
        <f ca="1">IFERROR(__xludf.DUMMYFUNCTION("""COMPUTED_VALUE"""),"Phú")</f>
        <v>Phú</v>
      </c>
      <c r="D25" s="62"/>
      <c r="E25" s="62"/>
      <c r="F25" s="62"/>
      <c r="G25" s="62"/>
      <c r="H25" s="62"/>
      <c r="I25" s="62"/>
      <c r="J25" s="65" t="str">
        <f t="shared" si="0"/>
        <v/>
      </c>
      <c r="K25" s="63"/>
    </row>
    <row r="26" spans="1:11" s="58" customFormat="1" ht="21.75" customHeight="1">
      <c r="A26" s="64">
        <f ca="1">IFERROR(__xludf.DUMMYFUNCTION("""COMPUTED_VALUE"""),24)</f>
        <v>24</v>
      </c>
      <c r="B26" s="66" t="str">
        <f ca="1">IFERROR(__xludf.DUMMYFUNCTION("""COMPUTED_VALUE"""),"Đỗ Nguyễn Tấn")</f>
        <v>Đỗ Nguyễn Tấn</v>
      </c>
      <c r="C26" s="67" t="str">
        <f ca="1">IFERROR(__xludf.DUMMYFUNCTION("""COMPUTED_VALUE"""),"Tài")</f>
        <v>Tài</v>
      </c>
      <c r="D26" s="62"/>
      <c r="E26" s="62"/>
      <c r="F26" s="62"/>
      <c r="G26" s="62">
        <v>5.6</v>
      </c>
      <c r="H26" s="62"/>
      <c r="I26" s="62"/>
      <c r="J26" s="62">
        <f t="shared" si="0"/>
        <v>5.6</v>
      </c>
      <c r="K26" s="63"/>
    </row>
    <row r="27" spans="1:11" s="58" customFormat="1" ht="21.75" customHeight="1">
      <c r="A27" s="64">
        <f ca="1">IFERROR(__xludf.DUMMYFUNCTION("""COMPUTED_VALUE"""),25)</f>
        <v>25</v>
      </c>
      <c r="B27" s="60" t="str">
        <f ca="1">IFERROR(__xludf.DUMMYFUNCTION("""COMPUTED_VALUE"""),"Trần Nguyễn Anh")</f>
        <v>Trần Nguyễn Anh</v>
      </c>
      <c r="C27" s="61" t="str">
        <f ca="1">IFERROR(__xludf.DUMMYFUNCTION("""COMPUTED_VALUE"""),"Thư")</f>
        <v>Thư</v>
      </c>
      <c r="D27" s="62">
        <v>9.6000000000000032</v>
      </c>
      <c r="E27" s="62">
        <v>10</v>
      </c>
      <c r="F27" s="62"/>
      <c r="G27" s="62">
        <v>9.4</v>
      </c>
      <c r="H27" s="62"/>
      <c r="I27" s="62"/>
      <c r="J27" s="62">
        <f t="shared" si="0"/>
        <v>9.6999999999999993</v>
      </c>
      <c r="K27" s="63"/>
    </row>
    <row r="28" spans="1:11" s="58" customFormat="1" ht="21.75" customHeight="1">
      <c r="A28" s="64">
        <f ca="1">IFERROR(__xludf.DUMMYFUNCTION("""COMPUTED_VALUE"""),26)</f>
        <v>26</v>
      </c>
      <c r="B28" s="60" t="str">
        <f ca="1">IFERROR(__xludf.DUMMYFUNCTION("""COMPUTED_VALUE"""),"Vũ Cao Minh")</f>
        <v>Vũ Cao Minh</v>
      </c>
      <c r="C28" s="61" t="str">
        <f ca="1">IFERROR(__xludf.DUMMYFUNCTION("""COMPUTED_VALUE"""),"Trí")</f>
        <v>Trí</v>
      </c>
      <c r="D28" s="62">
        <v>8.0000000000000018</v>
      </c>
      <c r="E28" s="62">
        <v>8</v>
      </c>
      <c r="F28" s="62"/>
      <c r="G28" s="62">
        <v>4.5999999999999996</v>
      </c>
      <c r="H28" s="62"/>
      <c r="I28" s="62"/>
      <c r="J28" s="62">
        <f t="shared" si="0"/>
        <v>6.9</v>
      </c>
      <c r="K28" s="63"/>
    </row>
    <row r="29" spans="1:11" s="58" customFormat="1" ht="21.75" customHeight="1">
      <c r="A29" s="64">
        <f ca="1">IFERROR(__xludf.DUMMYFUNCTION("""COMPUTED_VALUE"""),27)</f>
        <v>27</v>
      </c>
      <c r="B29" s="60" t="str">
        <f ca="1">IFERROR(__xludf.DUMMYFUNCTION("""COMPUTED_VALUE"""),"Nguyễn Thái Minh")</f>
        <v>Nguyễn Thái Minh</v>
      </c>
      <c r="C29" s="61" t="str">
        <f ca="1">IFERROR(__xludf.DUMMYFUNCTION("""COMPUTED_VALUE"""),"Triết")</f>
        <v>Triết</v>
      </c>
      <c r="D29" s="62"/>
      <c r="E29" s="62"/>
      <c r="F29" s="62"/>
      <c r="G29" s="62">
        <v>4.4000000000000004</v>
      </c>
      <c r="H29" s="62"/>
      <c r="I29" s="62"/>
      <c r="J29" s="62">
        <f t="shared" si="0"/>
        <v>4.4000000000000004</v>
      </c>
      <c r="K29" s="63"/>
    </row>
    <row r="30" spans="1:11" s="58" customFormat="1" ht="21.75" customHeight="1">
      <c r="A30" s="64">
        <f ca="1">IFERROR(__xludf.DUMMYFUNCTION("""COMPUTED_VALUE"""),28)</f>
        <v>28</v>
      </c>
      <c r="B30" s="60" t="str">
        <f ca="1">IFERROR(__xludf.DUMMYFUNCTION("""COMPUTED_VALUE"""),"Huỳnh Quốc")</f>
        <v>Huỳnh Quốc</v>
      </c>
      <c r="C30" s="61" t="str">
        <f ca="1">IFERROR(__xludf.DUMMYFUNCTION("""COMPUTED_VALUE"""),"Trung")</f>
        <v>Trung</v>
      </c>
      <c r="D30" s="62">
        <v>5.2</v>
      </c>
      <c r="E30" s="62">
        <v>9</v>
      </c>
      <c r="F30" s="62"/>
      <c r="G30" s="62">
        <v>7</v>
      </c>
      <c r="H30" s="62"/>
      <c r="I30" s="62"/>
      <c r="J30" s="62">
        <f t="shared" si="0"/>
        <v>7.1</v>
      </c>
      <c r="K30" s="63"/>
    </row>
    <row r="31" spans="1:11" s="58" customFormat="1" ht="21.75" customHeight="1">
      <c r="A31" s="68">
        <f ca="1">IFERROR(__xludf.DUMMYFUNCTION("""COMPUTED_VALUE"""),29)</f>
        <v>29</v>
      </c>
      <c r="B31" s="69" t="str">
        <f ca="1">IFERROR(__xludf.DUMMYFUNCTION("""COMPUTED_VALUE"""),"Phạm Anh")</f>
        <v>Phạm Anh</v>
      </c>
      <c r="C31" s="70" t="str">
        <f ca="1">IFERROR(__xludf.DUMMYFUNCTION("""COMPUTED_VALUE"""),"Tuấn")</f>
        <v>Tuấn</v>
      </c>
      <c r="D31" s="62"/>
      <c r="E31" s="62"/>
      <c r="F31" s="62">
        <v>8</v>
      </c>
      <c r="G31" s="62">
        <v>9.1999999999999993</v>
      </c>
      <c r="H31" s="62"/>
      <c r="I31" s="62"/>
      <c r="J31" s="62">
        <f t="shared" si="0"/>
        <v>8.6</v>
      </c>
      <c r="K31" s="63"/>
    </row>
    <row r="32" spans="1:11" s="58" customFormat="1" ht="21.75" customHeight="1">
      <c r="A32" s="68">
        <f ca="1">IFERROR(__xludf.DUMMYFUNCTION("""COMPUTED_VALUE"""),30)</f>
        <v>30</v>
      </c>
      <c r="B32" s="69" t="str">
        <f ca="1">IFERROR(__xludf.DUMMYFUNCTION("""COMPUTED_VALUE"""),"Trần Hoàng")</f>
        <v>Trần Hoàng</v>
      </c>
      <c r="C32" s="70" t="str">
        <f ca="1">IFERROR(__xludf.DUMMYFUNCTION("""COMPUTED_VALUE"""),"Việt")</f>
        <v>Việt</v>
      </c>
      <c r="D32" s="62">
        <v>7.6000000000000023</v>
      </c>
      <c r="E32" s="62">
        <v>7</v>
      </c>
      <c r="F32" s="62">
        <v>8</v>
      </c>
      <c r="G32" s="62">
        <v>8.6</v>
      </c>
      <c r="H32" s="62"/>
      <c r="I32" s="62"/>
      <c r="J32" s="62">
        <f t="shared" si="0"/>
        <v>7.8</v>
      </c>
      <c r="K32" s="63"/>
    </row>
    <row r="33" spans="1:11" s="58" customFormat="1" ht="21.75" customHeight="1">
      <c r="A33" s="68">
        <f ca="1">IFERROR(__xludf.DUMMYFUNCTION("""COMPUTED_VALUE"""),31)</f>
        <v>31</v>
      </c>
      <c r="B33" s="60" t="str">
        <f ca="1">IFERROR(__xludf.DUMMYFUNCTION("""COMPUTED_VALUE"""),"Lê Nguyễn Hoàng")</f>
        <v>Lê Nguyễn Hoàng</v>
      </c>
      <c r="C33" s="61" t="str">
        <f ca="1">IFERROR(__xludf.DUMMYFUNCTION("""COMPUTED_VALUE"""),"Vỹ")</f>
        <v>Vỹ</v>
      </c>
      <c r="D33" s="62">
        <v>2</v>
      </c>
      <c r="E33" s="62"/>
      <c r="F33" s="62"/>
      <c r="G33" s="62">
        <v>7.2</v>
      </c>
      <c r="H33" s="62"/>
      <c r="I33" s="62"/>
      <c r="J33" s="62">
        <f t="shared" si="0"/>
        <v>4.5999999999999996</v>
      </c>
      <c r="K33" s="63"/>
    </row>
    <row r="34" spans="1:11" s="58" customFormat="1" ht="21.75" customHeight="1">
      <c r="A34" s="68">
        <f ca="1">IFERROR(__xludf.DUMMYFUNCTION("""COMPUTED_VALUE"""),32)</f>
        <v>32</v>
      </c>
      <c r="B34" s="60" t="str">
        <f ca="1">IFERROR(__xludf.DUMMYFUNCTION("""COMPUTED_VALUE"""),"Nguyễn Ngọc Kim")</f>
        <v>Nguyễn Ngọc Kim</v>
      </c>
      <c r="C34" s="61" t="str">
        <f ca="1">IFERROR(__xludf.DUMMYFUNCTION("""COMPUTED_VALUE"""),"Yến")</f>
        <v>Yến</v>
      </c>
      <c r="D34" s="62">
        <v>5.6000000000000005</v>
      </c>
      <c r="E34" s="62">
        <v>7</v>
      </c>
      <c r="F34" s="62"/>
      <c r="G34" s="62">
        <v>6.4</v>
      </c>
      <c r="H34" s="62"/>
      <c r="I34" s="62"/>
      <c r="J34" s="62">
        <f t="shared" si="0"/>
        <v>6.3</v>
      </c>
      <c r="K34" s="63"/>
    </row>
    <row r="35" spans="1:11">
      <c r="A35" s="71"/>
      <c r="B35" s="72"/>
      <c r="C35" s="73"/>
      <c r="D35" s="74"/>
      <c r="E35" s="74"/>
      <c r="F35" s="74"/>
      <c r="G35" s="74"/>
      <c r="H35" s="74"/>
      <c r="I35" s="74"/>
      <c r="J35" s="75" t="str">
        <f t="shared" si="0"/>
        <v/>
      </c>
      <c r="K35" s="76"/>
    </row>
    <row r="36" spans="1:11">
      <c r="A36" s="71"/>
      <c r="B36" s="72"/>
      <c r="C36" s="73"/>
      <c r="D36" s="74"/>
      <c r="E36" s="74"/>
      <c r="F36" s="74"/>
      <c r="G36" s="74"/>
      <c r="H36" s="74"/>
      <c r="I36" s="74"/>
      <c r="J36" s="75" t="str">
        <f t="shared" si="0"/>
        <v/>
      </c>
      <c r="K36" s="76"/>
    </row>
    <row r="37" spans="1:11">
      <c r="A37" s="77"/>
      <c r="B37" s="78"/>
      <c r="C37" s="79"/>
      <c r="D37" s="74"/>
      <c r="E37" s="74"/>
      <c r="F37" s="74"/>
      <c r="G37" s="74"/>
      <c r="H37" s="74"/>
      <c r="I37" s="74"/>
      <c r="J37" s="75" t="str">
        <f t="shared" si="0"/>
        <v/>
      </c>
      <c r="K37" s="76"/>
    </row>
    <row r="38" spans="1:11" ht="6" customHeight="1">
      <c r="A38" s="80"/>
      <c r="B38" s="81"/>
      <c r="C38" s="81"/>
      <c r="D38" s="82"/>
      <c r="E38" s="83"/>
      <c r="F38" s="83"/>
      <c r="G38" s="83"/>
      <c r="H38" s="83"/>
      <c r="I38" s="83"/>
      <c r="J38" s="83"/>
      <c r="K38" s="83"/>
    </row>
  </sheetData>
  <mergeCells count="4">
    <mergeCell ref="A1:C1"/>
    <mergeCell ref="D1:K1"/>
    <mergeCell ref="A2:C2"/>
    <mergeCell ref="D2:G2"/>
  </mergeCells>
  <conditionalFormatting sqref="A3:I37 K3:K37">
    <cfRule type="expression" dxfId="12" priority="1">
      <formula>ISEVEN(ROW())</formula>
    </cfRule>
  </conditionalFormatting>
  <conditionalFormatting sqref="J3:J37">
    <cfRule type="cellIs" dxfId="11" priority="2" operator="between">
      <formula>0.01</formula>
      <formula>1.99</formula>
    </cfRule>
  </conditionalFormatting>
  <conditionalFormatting sqref="J3:J37">
    <cfRule type="cellIs" dxfId="10" priority="3" operator="between">
      <formula>2</formula>
      <formula>3.49</formula>
    </cfRule>
  </conditionalFormatting>
  <conditionalFormatting sqref="J3:J37">
    <cfRule type="cellIs" dxfId="9" priority="4" operator="between">
      <formula>3.5</formula>
      <formula>4.99</formula>
    </cfRule>
  </conditionalFormatting>
  <dataValidations count="1">
    <dataValidation type="decimal" allowBlank="1" showDropDown="1" showInputMessage="1" showErrorMessage="1" prompt="Nhập số trong khoảng 0 và 10" sqref="D3:I37">
      <formula1>0</formula1>
      <formula2>10</formula2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K38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.75" customHeight="1"/>
  <cols>
    <col min="1" max="1" width="3.42578125" customWidth="1"/>
    <col min="2" max="2" width="20" customWidth="1"/>
    <col min="3" max="3" width="7.5703125" customWidth="1"/>
    <col min="4" max="10" width="8.140625" customWidth="1"/>
    <col min="11" max="11" width="89.5703125" customWidth="1"/>
  </cols>
  <sheetData>
    <row r="1" spans="1:11" ht="18.75">
      <c r="A1" s="93" t="s">
        <v>8</v>
      </c>
      <c r="B1" s="94"/>
      <c r="C1" s="94"/>
      <c r="D1" s="95" t="s">
        <v>9</v>
      </c>
      <c r="E1" s="96"/>
      <c r="F1" s="96"/>
      <c r="G1" s="96"/>
      <c r="H1" s="96"/>
      <c r="I1" s="96"/>
      <c r="J1" s="96"/>
      <c r="K1" s="96"/>
    </row>
    <row r="2" spans="1:11" ht="31.5" customHeight="1">
      <c r="A2" s="97" t="str">
        <f>'HK1'!A2:C2</f>
        <v>--- 10A1 ---</v>
      </c>
      <c r="B2" s="98"/>
      <c r="C2" s="98"/>
      <c r="D2" s="99" t="s">
        <v>3</v>
      </c>
      <c r="E2" s="100"/>
      <c r="F2" s="100"/>
      <c r="G2" s="101"/>
      <c r="H2" s="1" t="s">
        <v>4</v>
      </c>
      <c r="I2" s="1" t="s">
        <v>5</v>
      </c>
      <c r="J2" s="2" t="s">
        <v>6</v>
      </c>
      <c r="K2" s="3" t="s">
        <v>7</v>
      </c>
    </row>
    <row r="3" spans="1:11">
      <c r="A3" s="4">
        <f ca="1">IFERROR(__xludf.DUMMYFUNCTION("IMPORTRANGE(""1UETkdhr13GTZNq5d7kzIVwYAa0hHJ-khDOGRW440WJE"",""'HK2'!A4:C38"")"),1)</f>
        <v>1</v>
      </c>
      <c r="B3" s="5" t="str">
        <f ca="1">IFERROR(__xludf.DUMMYFUNCTION("""COMPUTED_VALUE"""),"Chu Mai")</f>
        <v>Chu Mai</v>
      </c>
      <c r="C3" s="6" t="str">
        <f ca="1">IFERROR(__xludf.DUMMYFUNCTION("""COMPUTED_VALUE"""),"Anh")</f>
        <v>Anh</v>
      </c>
      <c r="D3" s="7"/>
      <c r="E3" s="7"/>
      <c r="F3" s="7"/>
      <c r="G3" s="7"/>
      <c r="H3" s="7"/>
      <c r="I3" s="7"/>
      <c r="J3" s="13" t="str">
        <f t="shared" ref="J3:J37" si="0">IF(COUNTA(D3:I3)=0,"",ROUND(AVERAGE(D3:I3,H3:I3,I3),1))</f>
        <v/>
      </c>
      <c r="K3" s="8"/>
    </row>
    <row r="4" spans="1:11">
      <c r="A4" s="9">
        <f ca="1">IFERROR(__xludf.DUMMYFUNCTION("""COMPUTED_VALUE"""),2)</f>
        <v>2</v>
      </c>
      <c r="B4" s="10" t="str">
        <f ca="1">IFERROR(__xludf.DUMMYFUNCTION("""COMPUTED_VALUE"""),"Lê Lâm")</f>
        <v>Lê Lâm</v>
      </c>
      <c r="C4" s="11" t="str">
        <f ca="1">IFERROR(__xludf.DUMMYFUNCTION("""COMPUTED_VALUE"""),"Anh")</f>
        <v>Anh</v>
      </c>
      <c r="D4" s="7"/>
      <c r="E4" s="7"/>
      <c r="F4" s="7"/>
      <c r="G4" s="7"/>
      <c r="H4" s="7"/>
      <c r="I4" s="7"/>
      <c r="J4" s="13" t="str">
        <f t="shared" si="0"/>
        <v/>
      </c>
      <c r="K4" s="8"/>
    </row>
    <row r="5" spans="1:11">
      <c r="A5" s="12">
        <f ca="1">IFERROR(__xludf.DUMMYFUNCTION("""COMPUTED_VALUE"""),3)</f>
        <v>3</v>
      </c>
      <c r="B5" s="5" t="str">
        <f ca="1">IFERROR(__xludf.DUMMYFUNCTION("""COMPUTED_VALUE"""),"Nguyễn Hoàng Việt")</f>
        <v>Nguyễn Hoàng Việt</v>
      </c>
      <c r="C5" s="6" t="str">
        <f ca="1">IFERROR(__xludf.DUMMYFUNCTION("""COMPUTED_VALUE"""),"Anh")</f>
        <v>Anh</v>
      </c>
      <c r="D5" s="7"/>
      <c r="E5" s="7"/>
      <c r="F5" s="7"/>
      <c r="G5" s="7"/>
      <c r="H5" s="7"/>
      <c r="I5" s="7"/>
      <c r="J5" s="13" t="str">
        <f t="shared" si="0"/>
        <v/>
      </c>
      <c r="K5" s="8"/>
    </row>
    <row r="6" spans="1:11">
      <c r="A6" s="9">
        <f ca="1">IFERROR(__xludf.DUMMYFUNCTION("""COMPUTED_VALUE"""),4)</f>
        <v>4</v>
      </c>
      <c r="B6" s="10" t="str">
        <f ca="1">IFERROR(__xludf.DUMMYFUNCTION("""COMPUTED_VALUE"""),"Nguyễn Lê Ngọc")</f>
        <v>Nguyễn Lê Ngọc</v>
      </c>
      <c r="C6" s="11" t="str">
        <f ca="1">IFERROR(__xludf.DUMMYFUNCTION("""COMPUTED_VALUE"""),"Băng")</f>
        <v>Băng</v>
      </c>
      <c r="D6" s="7"/>
      <c r="E6" s="7"/>
      <c r="F6" s="7"/>
      <c r="G6" s="7"/>
      <c r="H6" s="7"/>
      <c r="I6" s="7"/>
      <c r="J6" s="13" t="str">
        <f t="shared" si="0"/>
        <v/>
      </c>
      <c r="K6" s="8"/>
    </row>
    <row r="7" spans="1:11">
      <c r="A7" s="12">
        <f ca="1">IFERROR(__xludf.DUMMYFUNCTION("""COMPUTED_VALUE"""),5)</f>
        <v>5</v>
      </c>
      <c r="B7" s="5" t="str">
        <f ca="1">IFERROR(__xludf.DUMMYFUNCTION("""COMPUTED_VALUE"""),"Nguyễn Minh")</f>
        <v>Nguyễn Minh</v>
      </c>
      <c r="C7" s="6" t="str">
        <f ca="1">IFERROR(__xludf.DUMMYFUNCTION("""COMPUTED_VALUE"""),"Dũng")</f>
        <v>Dũng</v>
      </c>
      <c r="D7" s="7"/>
      <c r="E7" s="7"/>
      <c r="F7" s="7"/>
      <c r="G7" s="7"/>
      <c r="H7" s="7"/>
      <c r="I7" s="7"/>
      <c r="J7" s="13" t="str">
        <f t="shared" si="0"/>
        <v/>
      </c>
      <c r="K7" s="8"/>
    </row>
    <row r="8" spans="1:11">
      <c r="A8" s="9">
        <f ca="1">IFERROR(__xludf.DUMMYFUNCTION("""COMPUTED_VALUE"""),6)</f>
        <v>6</v>
      </c>
      <c r="B8" s="10" t="str">
        <f ca="1">IFERROR(__xludf.DUMMYFUNCTION("""COMPUTED_VALUE"""),"Nguyễn Phan Minh")</f>
        <v>Nguyễn Phan Minh</v>
      </c>
      <c r="C8" s="11" t="str">
        <f ca="1">IFERROR(__xludf.DUMMYFUNCTION("""COMPUTED_VALUE"""),"Duy")</f>
        <v>Duy</v>
      </c>
      <c r="D8" s="7"/>
      <c r="E8" s="7"/>
      <c r="F8" s="7"/>
      <c r="G8" s="7"/>
      <c r="H8" s="7"/>
      <c r="I8" s="7"/>
      <c r="J8" s="13" t="str">
        <f t="shared" si="0"/>
        <v/>
      </c>
      <c r="K8" s="8"/>
    </row>
    <row r="9" spans="1:11">
      <c r="A9" s="12">
        <f ca="1">IFERROR(__xludf.DUMMYFUNCTION("""COMPUTED_VALUE"""),7)</f>
        <v>7</v>
      </c>
      <c r="B9" s="5" t="str">
        <f ca="1">IFERROR(__xludf.DUMMYFUNCTION("""COMPUTED_VALUE"""),"Hoàng Huỳnh Nhật")</f>
        <v>Hoàng Huỳnh Nhật</v>
      </c>
      <c r="C9" s="6" t="str">
        <f ca="1">IFERROR(__xludf.DUMMYFUNCTION("""COMPUTED_VALUE"""),"Hào")</f>
        <v>Hào</v>
      </c>
      <c r="D9" s="7"/>
      <c r="E9" s="7"/>
      <c r="F9" s="7"/>
      <c r="G9" s="7"/>
      <c r="H9" s="7"/>
      <c r="I9" s="7"/>
      <c r="J9" s="13" t="str">
        <f t="shared" si="0"/>
        <v/>
      </c>
      <c r="K9" s="8"/>
    </row>
    <row r="10" spans="1:11">
      <c r="A10" s="9">
        <f ca="1">IFERROR(__xludf.DUMMYFUNCTION("""COMPUTED_VALUE"""),8)</f>
        <v>8</v>
      </c>
      <c r="B10" s="10" t="str">
        <f ca="1">IFERROR(__xludf.DUMMYFUNCTION("""COMPUTED_VALUE"""),"Mai Nguyễn Bảo")</f>
        <v>Mai Nguyễn Bảo</v>
      </c>
      <c r="C10" s="11" t="str">
        <f ca="1">IFERROR(__xludf.DUMMYFUNCTION("""COMPUTED_VALUE"""),"Hân")</f>
        <v>Hân</v>
      </c>
      <c r="D10" s="7"/>
      <c r="E10" s="7"/>
      <c r="F10" s="7"/>
      <c r="G10" s="7"/>
      <c r="H10" s="7"/>
      <c r="I10" s="7"/>
      <c r="J10" s="13" t="str">
        <f t="shared" si="0"/>
        <v/>
      </c>
      <c r="K10" s="8"/>
    </row>
    <row r="11" spans="1:11">
      <c r="A11" s="12">
        <f ca="1">IFERROR(__xludf.DUMMYFUNCTION("""COMPUTED_VALUE"""),9)</f>
        <v>9</v>
      </c>
      <c r="B11" s="5" t="str">
        <f ca="1">IFERROR(__xludf.DUMMYFUNCTION("""COMPUTED_VALUE"""),"Mai Huỳnh Mỹ")</f>
        <v>Mai Huỳnh Mỹ</v>
      </c>
      <c r="C11" s="6" t="str">
        <f ca="1">IFERROR(__xludf.DUMMYFUNCTION("""COMPUTED_VALUE"""),"Hiền")</f>
        <v>Hiền</v>
      </c>
      <c r="D11" s="7"/>
      <c r="E11" s="7"/>
      <c r="F11" s="7"/>
      <c r="G11" s="7"/>
      <c r="H11" s="7"/>
      <c r="I11" s="7"/>
      <c r="J11" s="13" t="str">
        <f t="shared" si="0"/>
        <v/>
      </c>
      <c r="K11" s="8"/>
    </row>
    <row r="12" spans="1:11">
      <c r="A12" s="9">
        <f ca="1">IFERROR(__xludf.DUMMYFUNCTION("""COMPUTED_VALUE"""),10)</f>
        <v>10</v>
      </c>
      <c r="B12" s="10" t="str">
        <f ca="1">IFERROR(__xludf.DUMMYFUNCTION("""COMPUTED_VALUE"""),"Trần Đỗ Viết")</f>
        <v>Trần Đỗ Viết</v>
      </c>
      <c r="C12" s="11" t="str">
        <f ca="1">IFERROR(__xludf.DUMMYFUNCTION("""COMPUTED_VALUE"""),"Hòa")</f>
        <v>Hòa</v>
      </c>
      <c r="D12" s="7"/>
      <c r="E12" s="7"/>
      <c r="F12" s="7"/>
      <c r="G12" s="7"/>
      <c r="H12" s="7"/>
      <c r="I12" s="7"/>
      <c r="J12" s="13" t="str">
        <f t="shared" si="0"/>
        <v/>
      </c>
      <c r="K12" s="8"/>
    </row>
    <row r="13" spans="1:11">
      <c r="A13" s="12">
        <f ca="1">IFERROR(__xludf.DUMMYFUNCTION("""COMPUTED_VALUE"""),11)</f>
        <v>11</v>
      </c>
      <c r="B13" s="5" t="str">
        <f ca="1">IFERROR(__xludf.DUMMYFUNCTION("""COMPUTED_VALUE"""),"Huỳnh Minh")</f>
        <v>Huỳnh Minh</v>
      </c>
      <c r="C13" s="6" t="str">
        <f ca="1">IFERROR(__xludf.DUMMYFUNCTION("""COMPUTED_VALUE"""),"Huy")</f>
        <v>Huy</v>
      </c>
      <c r="D13" s="7"/>
      <c r="E13" s="7"/>
      <c r="F13" s="7"/>
      <c r="G13" s="7"/>
      <c r="H13" s="7"/>
      <c r="I13" s="7"/>
      <c r="J13" s="13" t="str">
        <f t="shared" si="0"/>
        <v/>
      </c>
      <c r="K13" s="8"/>
    </row>
    <row r="14" spans="1:11">
      <c r="A14" s="9">
        <f ca="1">IFERROR(__xludf.DUMMYFUNCTION("""COMPUTED_VALUE"""),12)</f>
        <v>12</v>
      </c>
      <c r="B14" s="10" t="str">
        <f ca="1">IFERROR(__xludf.DUMMYFUNCTION("""COMPUTED_VALUE"""),"Đoàn Đình Nguyên")</f>
        <v>Đoàn Đình Nguyên</v>
      </c>
      <c r="C14" s="11" t="str">
        <f ca="1">IFERROR(__xludf.DUMMYFUNCTION("""COMPUTED_VALUE"""),"Khang")</f>
        <v>Khang</v>
      </c>
      <c r="D14" s="7"/>
      <c r="E14" s="7"/>
      <c r="F14" s="7"/>
      <c r="G14" s="7"/>
      <c r="H14" s="7"/>
      <c r="I14" s="7"/>
      <c r="J14" s="13" t="str">
        <f t="shared" si="0"/>
        <v/>
      </c>
      <c r="K14" s="8"/>
    </row>
    <row r="15" spans="1:11">
      <c r="A15" s="12">
        <f ca="1">IFERROR(__xludf.DUMMYFUNCTION("""COMPUTED_VALUE"""),13)</f>
        <v>13</v>
      </c>
      <c r="B15" s="5" t="str">
        <f ca="1">IFERROR(__xludf.DUMMYFUNCTION("""COMPUTED_VALUE"""),"Phan Đình Quốc")</f>
        <v>Phan Đình Quốc</v>
      </c>
      <c r="C15" s="6" t="str">
        <f ca="1">IFERROR(__xludf.DUMMYFUNCTION("""COMPUTED_VALUE"""),"Khánh")</f>
        <v>Khánh</v>
      </c>
      <c r="D15" s="7"/>
      <c r="E15" s="7"/>
      <c r="F15" s="7"/>
      <c r="G15" s="7"/>
      <c r="H15" s="7"/>
      <c r="I15" s="7"/>
      <c r="J15" s="13" t="str">
        <f t="shared" si="0"/>
        <v/>
      </c>
      <c r="K15" s="8"/>
    </row>
    <row r="16" spans="1:11">
      <c r="A16" s="9">
        <f ca="1">IFERROR(__xludf.DUMMYFUNCTION("""COMPUTED_VALUE"""),14)</f>
        <v>14</v>
      </c>
      <c r="B16" s="10" t="str">
        <f ca="1">IFERROR(__xludf.DUMMYFUNCTION("""COMPUTED_VALUE"""),"Võ Lâm Tuấn")</f>
        <v>Võ Lâm Tuấn</v>
      </c>
      <c r="C16" s="11" t="str">
        <f ca="1">IFERROR(__xludf.DUMMYFUNCTION("""COMPUTED_VALUE"""),"Kiệt")</f>
        <v>Kiệt</v>
      </c>
      <c r="D16" s="7"/>
      <c r="E16" s="7"/>
      <c r="F16" s="7"/>
      <c r="G16" s="7"/>
      <c r="H16" s="7"/>
      <c r="I16" s="7"/>
      <c r="J16" s="13" t="str">
        <f t="shared" si="0"/>
        <v/>
      </c>
      <c r="K16" s="8"/>
    </row>
    <row r="17" spans="1:11">
      <c r="A17" s="12">
        <f ca="1">IFERROR(__xludf.DUMMYFUNCTION("""COMPUTED_VALUE"""),15)</f>
        <v>15</v>
      </c>
      <c r="B17" s="5" t="str">
        <f ca="1">IFERROR(__xludf.DUMMYFUNCTION("""COMPUTED_VALUE"""),"Nguyễn Bá Triệu")</f>
        <v>Nguyễn Bá Triệu</v>
      </c>
      <c r="C17" s="6" t="str">
        <f ca="1">IFERROR(__xludf.DUMMYFUNCTION("""COMPUTED_VALUE"""),"Lâm")</f>
        <v>Lâm</v>
      </c>
      <c r="D17" s="7"/>
      <c r="E17" s="7"/>
      <c r="F17" s="7"/>
      <c r="G17" s="7"/>
      <c r="H17" s="7"/>
      <c r="I17" s="7"/>
      <c r="J17" s="13" t="str">
        <f t="shared" si="0"/>
        <v/>
      </c>
      <c r="K17" s="8"/>
    </row>
    <row r="18" spans="1:11">
      <c r="A18" s="9">
        <f ca="1">IFERROR(__xludf.DUMMYFUNCTION("""COMPUTED_VALUE"""),16)</f>
        <v>16</v>
      </c>
      <c r="B18" s="10" t="str">
        <f ca="1">IFERROR(__xludf.DUMMYFUNCTION("""COMPUTED_VALUE"""),"Nguyễn Hoàng Gia")</f>
        <v>Nguyễn Hoàng Gia</v>
      </c>
      <c r="C18" s="11" t="str">
        <f ca="1">IFERROR(__xludf.DUMMYFUNCTION("""COMPUTED_VALUE"""),"Linh")</f>
        <v>Linh</v>
      </c>
      <c r="D18" s="7"/>
      <c r="E18" s="7"/>
      <c r="F18" s="7"/>
      <c r="G18" s="7"/>
      <c r="H18" s="7"/>
      <c r="I18" s="7"/>
      <c r="J18" s="13" t="str">
        <f t="shared" si="0"/>
        <v/>
      </c>
      <c r="K18" s="8"/>
    </row>
    <row r="19" spans="1:11">
      <c r="A19" s="12">
        <f ca="1">IFERROR(__xludf.DUMMYFUNCTION("""COMPUTED_VALUE"""),17)</f>
        <v>17</v>
      </c>
      <c r="B19" s="5" t="str">
        <f ca="1">IFERROR(__xludf.DUMMYFUNCTION("""COMPUTED_VALUE"""),"Tạ Phương")</f>
        <v>Tạ Phương</v>
      </c>
      <c r="C19" s="6" t="str">
        <f ca="1">IFERROR(__xludf.DUMMYFUNCTION("""COMPUTED_VALUE"""),"Linh")</f>
        <v>Linh</v>
      </c>
      <c r="D19" s="7"/>
      <c r="E19" s="7"/>
      <c r="F19" s="7"/>
      <c r="G19" s="7"/>
      <c r="H19" s="7"/>
      <c r="I19" s="7"/>
      <c r="J19" s="13" t="str">
        <f t="shared" si="0"/>
        <v/>
      </c>
      <c r="K19" s="8"/>
    </row>
    <row r="20" spans="1:11">
      <c r="A20" s="9">
        <f ca="1">IFERROR(__xludf.DUMMYFUNCTION("""COMPUTED_VALUE"""),18)</f>
        <v>18</v>
      </c>
      <c r="B20" s="10" t="str">
        <f ca="1">IFERROR(__xludf.DUMMYFUNCTION("""COMPUTED_VALUE"""),"Trần Thành")</f>
        <v>Trần Thành</v>
      </c>
      <c r="C20" s="11" t="str">
        <f ca="1">IFERROR(__xludf.DUMMYFUNCTION("""COMPUTED_VALUE"""),"Lộc")</f>
        <v>Lộc</v>
      </c>
      <c r="D20" s="7"/>
      <c r="E20" s="7"/>
      <c r="F20" s="7"/>
      <c r="G20" s="7"/>
      <c r="H20" s="7"/>
      <c r="I20" s="7"/>
      <c r="J20" s="13" t="str">
        <f t="shared" si="0"/>
        <v/>
      </c>
      <c r="K20" s="8"/>
    </row>
    <row r="21" spans="1:11">
      <c r="A21" s="12">
        <f ca="1">IFERROR(__xludf.DUMMYFUNCTION("""COMPUTED_VALUE"""),19)</f>
        <v>19</v>
      </c>
      <c r="B21" s="5" t="str">
        <f ca="1">IFERROR(__xludf.DUMMYFUNCTION("""COMPUTED_VALUE"""),"Nguyễn Lê Ngọc")</f>
        <v>Nguyễn Lê Ngọc</v>
      </c>
      <c r="C21" s="6" t="str">
        <f ca="1">IFERROR(__xludf.DUMMYFUNCTION("""COMPUTED_VALUE"""),"Nghi")</f>
        <v>Nghi</v>
      </c>
      <c r="D21" s="7"/>
      <c r="E21" s="7"/>
      <c r="F21" s="7"/>
      <c r="G21" s="7"/>
      <c r="H21" s="7"/>
      <c r="I21" s="7"/>
      <c r="J21" s="13" t="str">
        <f t="shared" si="0"/>
        <v/>
      </c>
      <c r="K21" s="8"/>
    </row>
    <row r="22" spans="1:11">
      <c r="A22" s="9">
        <f ca="1">IFERROR(__xludf.DUMMYFUNCTION("""COMPUTED_VALUE"""),20)</f>
        <v>20</v>
      </c>
      <c r="B22" s="10" t="str">
        <f ca="1">IFERROR(__xludf.DUMMYFUNCTION("""COMPUTED_VALUE"""),"Trương Thị Mẫn")</f>
        <v>Trương Thị Mẫn</v>
      </c>
      <c r="C22" s="11" t="str">
        <f ca="1">IFERROR(__xludf.DUMMYFUNCTION("""COMPUTED_VALUE"""),"Nghi")</f>
        <v>Nghi</v>
      </c>
      <c r="D22" s="7"/>
      <c r="E22" s="7"/>
      <c r="F22" s="7"/>
      <c r="G22" s="7"/>
      <c r="H22" s="7"/>
      <c r="I22" s="7"/>
      <c r="J22" s="13" t="str">
        <f t="shared" si="0"/>
        <v/>
      </c>
      <c r="K22" s="8"/>
    </row>
    <row r="23" spans="1:11">
      <c r="A23" s="12">
        <f ca="1">IFERROR(__xludf.DUMMYFUNCTION("""COMPUTED_VALUE"""),21)</f>
        <v>21</v>
      </c>
      <c r="B23" s="5" t="str">
        <f ca="1">IFERROR(__xludf.DUMMYFUNCTION("""COMPUTED_VALUE"""),"Nguyễn Võ Yến")</f>
        <v>Nguyễn Võ Yến</v>
      </c>
      <c r="C23" s="6" t="str">
        <f ca="1">IFERROR(__xludf.DUMMYFUNCTION("""COMPUTED_VALUE"""),"Nhi")</f>
        <v>Nhi</v>
      </c>
      <c r="D23" s="7"/>
      <c r="E23" s="7"/>
      <c r="F23" s="7"/>
      <c r="G23" s="7"/>
      <c r="H23" s="7"/>
      <c r="I23" s="7"/>
      <c r="J23" s="13" t="str">
        <f t="shared" si="0"/>
        <v/>
      </c>
      <c r="K23" s="8"/>
    </row>
    <row r="24" spans="1:11">
      <c r="A24" s="9">
        <f ca="1">IFERROR(__xludf.DUMMYFUNCTION("""COMPUTED_VALUE"""),22)</f>
        <v>22</v>
      </c>
      <c r="B24" s="10" t="str">
        <f ca="1">IFERROR(__xludf.DUMMYFUNCTION("""COMPUTED_VALUE"""),"Võ Ngọc Tâm")</f>
        <v>Võ Ngọc Tâm</v>
      </c>
      <c r="C24" s="11" t="str">
        <f ca="1">IFERROR(__xludf.DUMMYFUNCTION("""COMPUTED_VALUE"""),"Nhi")</f>
        <v>Nhi</v>
      </c>
      <c r="D24" s="7"/>
      <c r="E24" s="7"/>
      <c r="F24" s="7"/>
      <c r="G24" s="7"/>
      <c r="H24" s="7"/>
      <c r="I24" s="7"/>
      <c r="J24" s="13" t="str">
        <f t="shared" si="0"/>
        <v/>
      </c>
      <c r="K24" s="8"/>
    </row>
    <row r="25" spans="1:11">
      <c r="A25" s="12">
        <f ca="1">IFERROR(__xludf.DUMMYFUNCTION("""COMPUTED_VALUE"""),23)</f>
        <v>23</v>
      </c>
      <c r="B25" s="5" t="str">
        <f ca="1">IFERROR(__xludf.DUMMYFUNCTION("""COMPUTED_VALUE"""),"Đỗ Thiên")</f>
        <v>Đỗ Thiên</v>
      </c>
      <c r="C25" s="6" t="str">
        <f ca="1">IFERROR(__xludf.DUMMYFUNCTION("""COMPUTED_VALUE"""),"Phú")</f>
        <v>Phú</v>
      </c>
      <c r="D25" s="7"/>
      <c r="E25" s="7"/>
      <c r="F25" s="7"/>
      <c r="G25" s="7"/>
      <c r="H25" s="7"/>
      <c r="I25" s="7"/>
      <c r="J25" s="13" t="str">
        <f t="shared" si="0"/>
        <v/>
      </c>
      <c r="K25" s="8"/>
    </row>
    <row r="26" spans="1:11">
      <c r="A26" s="9">
        <f ca="1">IFERROR(__xludf.DUMMYFUNCTION("""COMPUTED_VALUE"""),24)</f>
        <v>24</v>
      </c>
      <c r="B26" s="14" t="str">
        <f ca="1">IFERROR(__xludf.DUMMYFUNCTION("""COMPUTED_VALUE"""),"Đỗ Nguyễn Tấn")</f>
        <v>Đỗ Nguyễn Tấn</v>
      </c>
      <c r="C26" s="15" t="str">
        <f ca="1">IFERROR(__xludf.DUMMYFUNCTION("""COMPUTED_VALUE"""),"Tài")</f>
        <v>Tài</v>
      </c>
      <c r="D26" s="7"/>
      <c r="E26" s="7"/>
      <c r="F26" s="7"/>
      <c r="G26" s="7"/>
      <c r="H26" s="7"/>
      <c r="I26" s="7"/>
      <c r="J26" s="13" t="str">
        <f t="shared" si="0"/>
        <v/>
      </c>
      <c r="K26" s="8"/>
    </row>
    <row r="27" spans="1:11">
      <c r="A27" s="12">
        <f ca="1">IFERROR(__xludf.DUMMYFUNCTION("""COMPUTED_VALUE"""),25)</f>
        <v>25</v>
      </c>
      <c r="B27" s="5" t="str">
        <f ca="1">IFERROR(__xludf.DUMMYFUNCTION("""COMPUTED_VALUE"""),"Trần Nguyễn Anh")</f>
        <v>Trần Nguyễn Anh</v>
      </c>
      <c r="C27" s="6" t="str">
        <f ca="1">IFERROR(__xludf.DUMMYFUNCTION("""COMPUTED_VALUE"""),"Thư")</f>
        <v>Thư</v>
      </c>
      <c r="D27" s="7"/>
      <c r="E27" s="7"/>
      <c r="F27" s="7"/>
      <c r="G27" s="7"/>
      <c r="H27" s="7"/>
      <c r="I27" s="7"/>
      <c r="J27" s="13" t="str">
        <f t="shared" si="0"/>
        <v/>
      </c>
      <c r="K27" s="8"/>
    </row>
    <row r="28" spans="1:11">
      <c r="A28" s="9">
        <f ca="1">IFERROR(__xludf.DUMMYFUNCTION("""COMPUTED_VALUE"""),26)</f>
        <v>26</v>
      </c>
      <c r="B28" s="10" t="str">
        <f ca="1">IFERROR(__xludf.DUMMYFUNCTION("""COMPUTED_VALUE"""),"Vũ Cao Minh")</f>
        <v>Vũ Cao Minh</v>
      </c>
      <c r="C28" s="11" t="str">
        <f ca="1">IFERROR(__xludf.DUMMYFUNCTION("""COMPUTED_VALUE"""),"Trí")</f>
        <v>Trí</v>
      </c>
      <c r="D28" s="7"/>
      <c r="E28" s="7"/>
      <c r="F28" s="7"/>
      <c r="G28" s="7"/>
      <c r="H28" s="7"/>
      <c r="I28" s="7"/>
      <c r="J28" s="13" t="str">
        <f t="shared" si="0"/>
        <v/>
      </c>
      <c r="K28" s="8"/>
    </row>
    <row r="29" spans="1:11">
      <c r="A29" s="12">
        <f ca="1">IFERROR(__xludf.DUMMYFUNCTION("""COMPUTED_VALUE"""),27)</f>
        <v>27</v>
      </c>
      <c r="B29" s="5" t="str">
        <f ca="1">IFERROR(__xludf.DUMMYFUNCTION("""COMPUTED_VALUE"""),"Nguyễn Thái Minh")</f>
        <v>Nguyễn Thái Minh</v>
      </c>
      <c r="C29" s="6" t="str">
        <f ca="1">IFERROR(__xludf.DUMMYFUNCTION("""COMPUTED_VALUE"""),"Triết")</f>
        <v>Triết</v>
      </c>
      <c r="D29" s="7"/>
      <c r="E29" s="7"/>
      <c r="F29" s="7"/>
      <c r="G29" s="7"/>
      <c r="H29" s="7"/>
      <c r="I29" s="7"/>
      <c r="J29" s="13" t="str">
        <f t="shared" si="0"/>
        <v/>
      </c>
      <c r="K29" s="8"/>
    </row>
    <row r="30" spans="1:11">
      <c r="A30" s="9">
        <f ca="1">IFERROR(__xludf.DUMMYFUNCTION("""COMPUTED_VALUE"""),28)</f>
        <v>28</v>
      </c>
      <c r="B30" s="10" t="str">
        <f ca="1">IFERROR(__xludf.DUMMYFUNCTION("""COMPUTED_VALUE"""),"Huỳnh Quốc")</f>
        <v>Huỳnh Quốc</v>
      </c>
      <c r="C30" s="11" t="str">
        <f ca="1">IFERROR(__xludf.DUMMYFUNCTION("""COMPUTED_VALUE"""),"Trung")</f>
        <v>Trung</v>
      </c>
      <c r="D30" s="7"/>
      <c r="E30" s="7"/>
      <c r="F30" s="7"/>
      <c r="G30" s="7"/>
      <c r="H30" s="7"/>
      <c r="I30" s="7"/>
      <c r="J30" s="13" t="str">
        <f t="shared" si="0"/>
        <v/>
      </c>
      <c r="K30" s="8"/>
    </row>
    <row r="31" spans="1:11">
      <c r="A31" s="16">
        <f ca="1">IFERROR(__xludf.DUMMYFUNCTION("""COMPUTED_VALUE"""),29)</f>
        <v>29</v>
      </c>
      <c r="B31" s="17" t="str">
        <f ca="1">IFERROR(__xludf.DUMMYFUNCTION("""COMPUTED_VALUE"""),"Phạm Anh")</f>
        <v>Phạm Anh</v>
      </c>
      <c r="C31" s="18" t="str">
        <f ca="1">IFERROR(__xludf.DUMMYFUNCTION("""COMPUTED_VALUE"""),"Tuấn")</f>
        <v>Tuấn</v>
      </c>
      <c r="D31" s="7"/>
      <c r="E31" s="7"/>
      <c r="F31" s="7"/>
      <c r="G31" s="7"/>
      <c r="H31" s="7"/>
      <c r="I31" s="7"/>
      <c r="J31" s="13" t="str">
        <f t="shared" si="0"/>
        <v/>
      </c>
      <c r="K31" s="8"/>
    </row>
    <row r="32" spans="1:11">
      <c r="A32" s="19">
        <f ca="1">IFERROR(__xludf.DUMMYFUNCTION("""COMPUTED_VALUE"""),30)</f>
        <v>30</v>
      </c>
      <c r="B32" s="20" t="str">
        <f ca="1">IFERROR(__xludf.DUMMYFUNCTION("""COMPUTED_VALUE"""),"Trần Hoàng")</f>
        <v>Trần Hoàng</v>
      </c>
      <c r="C32" s="21" t="str">
        <f ca="1">IFERROR(__xludf.DUMMYFUNCTION("""COMPUTED_VALUE"""),"Việt")</f>
        <v>Việt</v>
      </c>
      <c r="D32" s="7"/>
      <c r="E32" s="7"/>
      <c r="F32" s="7"/>
      <c r="G32" s="7"/>
      <c r="H32" s="7"/>
      <c r="I32" s="7"/>
      <c r="J32" s="13" t="str">
        <f t="shared" si="0"/>
        <v/>
      </c>
      <c r="K32" s="8"/>
    </row>
    <row r="33" spans="1:11">
      <c r="A33" s="16">
        <f ca="1">IFERROR(__xludf.DUMMYFUNCTION("""COMPUTED_VALUE"""),31)</f>
        <v>31</v>
      </c>
      <c r="B33" s="22" t="str">
        <f ca="1">IFERROR(__xludf.DUMMYFUNCTION("""COMPUTED_VALUE"""),"Lê Nguyễn Hoàng")</f>
        <v>Lê Nguyễn Hoàng</v>
      </c>
      <c r="C33" s="23" t="str">
        <f ca="1">IFERROR(__xludf.DUMMYFUNCTION("""COMPUTED_VALUE"""),"Vỹ")</f>
        <v>Vỹ</v>
      </c>
      <c r="D33" s="7"/>
      <c r="E33" s="7"/>
      <c r="F33" s="7"/>
      <c r="G33" s="7"/>
      <c r="H33" s="7"/>
      <c r="I33" s="7"/>
      <c r="J33" s="13" t="str">
        <f t="shared" si="0"/>
        <v/>
      </c>
      <c r="K33" s="8"/>
    </row>
    <row r="34" spans="1:11">
      <c r="A34" s="16">
        <f ca="1">IFERROR(__xludf.DUMMYFUNCTION("""COMPUTED_VALUE"""),32)</f>
        <v>32</v>
      </c>
      <c r="B34" s="22" t="str">
        <f ca="1">IFERROR(__xludf.DUMMYFUNCTION("""COMPUTED_VALUE"""),"Nguyễn Ngọc Kim")</f>
        <v>Nguyễn Ngọc Kim</v>
      </c>
      <c r="C34" s="23" t="str">
        <f ca="1">IFERROR(__xludf.DUMMYFUNCTION("""COMPUTED_VALUE"""),"Yến")</f>
        <v>Yến</v>
      </c>
      <c r="D34" s="7"/>
      <c r="E34" s="7"/>
      <c r="F34" s="7"/>
      <c r="G34" s="7"/>
      <c r="H34" s="7"/>
      <c r="I34" s="7"/>
      <c r="J34" s="13" t="str">
        <f t="shared" si="0"/>
        <v/>
      </c>
      <c r="K34" s="8"/>
    </row>
    <row r="35" spans="1:11">
      <c r="A35" s="16">
        <f ca="1">IFERROR(__xludf.DUMMYFUNCTION("""COMPUTED_VALUE"""),33)</f>
        <v>33</v>
      </c>
      <c r="B35" s="22"/>
      <c r="C35" s="23"/>
      <c r="D35" s="7"/>
      <c r="E35" s="7"/>
      <c r="F35" s="7"/>
      <c r="G35" s="7"/>
      <c r="H35" s="7"/>
      <c r="I35" s="7"/>
      <c r="J35" s="13" t="str">
        <f t="shared" si="0"/>
        <v/>
      </c>
      <c r="K35" s="8"/>
    </row>
    <row r="36" spans="1:11">
      <c r="A36" s="19">
        <f ca="1">IFERROR(__xludf.DUMMYFUNCTION("""COMPUTED_VALUE"""),34)</f>
        <v>34</v>
      </c>
      <c r="B36" s="24"/>
      <c r="C36" s="25"/>
      <c r="D36" s="7"/>
      <c r="E36" s="7"/>
      <c r="F36" s="7"/>
      <c r="G36" s="7"/>
      <c r="H36" s="7"/>
      <c r="I36" s="7"/>
      <c r="J36" s="13" t="str">
        <f t="shared" si="0"/>
        <v/>
      </c>
      <c r="K36" s="8"/>
    </row>
    <row r="37" spans="1:11">
      <c r="A37" s="26"/>
      <c r="B37" s="27"/>
      <c r="C37" s="28"/>
      <c r="D37" s="7"/>
      <c r="E37" s="7"/>
      <c r="F37" s="7"/>
      <c r="G37" s="7"/>
      <c r="H37" s="7"/>
      <c r="I37" s="7"/>
      <c r="J37" s="13" t="str">
        <f t="shared" si="0"/>
        <v/>
      </c>
      <c r="K37" s="8"/>
    </row>
    <row r="38" spans="1:11" ht="6" customHeight="1">
      <c r="A38" s="29"/>
      <c r="B38" s="30"/>
      <c r="C38" s="30"/>
      <c r="D38" s="31"/>
      <c r="E38" s="32"/>
      <c r="F38" s="32"/>
      <c r="G38" s="32"/>
      <c r="H38" s="32"/>
      <c r="I38" s="32"/>
      <c r="J38" s="32"/>
      <c r="K38" s="32"/>
    </row>
  </sheetData>
  <mergeCells count="4">
    <mergeCell ref="A1:C1"/>
    <mergeCell ref="D1:K1"/>
    <mergeCell ref="A2:C2"/>
    <mergeCell ref="D2:G2"/>
  </mergeCells>
  <conditionalFormatting sqref="A3:I37 K3:K37">
    <cfRule type="expression" dxfId="8" priority="1">
      <formula>ISEVEN(ROW())</formula>
    </cfRule>
  </conditionalFormatting>
  <conditionalFormatting sqref="J3:J37">
    <cfRule type="cellIs" dxfId="7" priority="2" operator="between">
      <formula>0.01</formula>
      <formula>1.99</formula>
    </cfRule>
  </conditionalFormatting>
  <conditionalFormatting sqref="J3:J37">
    <cfRule type="cellIs" dxfId="6" priority="3" operator="between">
      <formula>2</formula>
      <formula>3.49</formula>
    </cfRule>
  </conditionalFormatting>
  <conditionalFormatting sqref="J3:J37">
    <cfRule type="cellIs" dxfId="5" priority="4" operator="between">
      <formula>3.5</formula>
      <formula>4.99</formula>
    </cfRule>
  </conditionalFormatting>
  <conditionalFormatting sqref="D3:I37">
    <cfRule type="notContainsBlanks" dxfId="4" priority="5">
      <formula>LEN(TRIM(D3))&gt;0</formula>
    </cfRule>
  </conditionalFormatting>
  <dataValidations count="1">
    <dataValidation type="decimal" allowBlank="1" showDropDown="1" showInputMessage="1" showErrorMessage="1" prompt="Nhập số trong khoảng 0 và 10" sqref="D3:I37">
      <formula1>0</formula1>
      <formula2>10</formula2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38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.75" customHeight="1"/>
  <cols>
    <col min="1" max="1" width="3.42578125" customWidth="1"/>
    <col min="2" max="2" width="20" customWidth="1"/>
    <col min="3" max="3" width="7.5703125" customWidth="1"/>
    <col min="4" max="6" width="8.140625" customWidth="1"/>
    <col min="7" max="7" width="4.7109375" customWidth="1"/>
    <col min="8" max="8" width="15.7109375" customWidth="1"/>
    <col min="9" max="11" width="5.42578125" customWidth="1"/>
    <col min="12" max="12" width="5.7109375" customWidth="1"/>
    <col min="13" max="13" width="5.42578125" customWidth="1"/>
    <col min="14" max="14" width="5.85546875" customWidth="1"/>
  </cols>
  <sheetData>
    <row r="1" spans="1:14" ht="18.75">
      <c r="A1" s="93" t="s">
        <v>10</v>
      </c>
      <c r="B1" s="94"/>
      <c r="C1" s="94"/>
      <c r="D1" s="95" t="s">
        <v>11</v>
      </c>
      <c r="E1" s="96"/>
      <c r="F1" s="96"/>
      <c r="G1" s="96"/>
      <c r="H1" s="96"/>
      <c r="I1" s="96"/>
      <c r="J1" s="96"/>
      <c r="K1" s="96"/>
      <c r="L1" s="96"/>
      <c r="M1" s="96"/>
      <c r="N1" s="96"/>
    </row>
    <row r="2" spans="1:14">
      <c r="A2" s="97" t="str">
        <f>'HK1'!A2:C2</f>
        <v>--- 10A1 ---</v>
      </c>
      <c r="B2" s="98"/>
      <c r="C2" s="98"/>
      <c r="D2" s="1" t="s">
        <v>12</v>
      </c>
      <c r="E2" s="1" t="s">
        <v>13</v>
      </c>
      <c r="F2" s="2" t="s">
        <v>14</v>
      </c>
      <c r="G2" s="33"/>
      <c r="H2" s="33"/>
      <c r="I2" s="33"/>
      <c r="J2" s="33"/>
      <c r="K2" s="33"/>
      <c r="L2" s="33"/>
      <c r="M2" s="33"/>
      <c r="N2" s="33"/>
    </row>
    <row r="3" spans="1:14">
      <c r="A3" s="4">
        <f t="array" ref="A3:C37" ca="1">'HK2'!A3:C37</f>
        <v>1</v>
      </c>
      <c r="B3" s="5" t="str">
        <f ca="1"/>
        <v>Chu Mai</v>
      </c>
      <c r="C3" s="6" t="str">
        <f ca="1"/>
        <v>Anh</v>
      </c>
      <c r="D3" s="7">
        <f t="array" ref="D3:D37">'HK1'!J3:J37</f>
        <v>6.6</v>
      </c>
      <c r="E3" s="7" t="str">
        <f t="array" ref="E3:E37">'HK2'!J3:J37</f>
        <v/>
      </c>
      <c r="F3" s="34" t="str">
        <f t="shared" ref="F3:F37" si="0">IF(COUNT(D3:E3)&lt;&gt;2,"",ROUND((D3+E3*2)/3,1))</f>
        <v/>
      </c>
      <c r="G3" s="35"/>
      <c r="H3" s="102" t="s">
        <v>15</v>
      </c>
      <c r="I3" s="96"/>
      <c r="J3" s="96"/>
      <c r="K3" s="96"/>
      <c r="L3" s="96"/>
      <c r="M3" s="96"/>
      <c r="N3" s="96"/>
    </row>
    <row r="4" spans="1:14">
      <c r="A4" s="9">
        <f ca="1"/>
        <v>2</v>
      </c>
      <c r="B4" s="10" t="str">
        <f ca="1"/>
        <v>Lê Lâm</v>
      </c>
      <c r="C4" s="11" t="str">
        <f ca="1"/>
        <v>Anh</v>
      </c>
      <c r="D4" s="7">
        <v>7.7</v>
      </c>
      <c r="E4" s="7" t="str">
        <v/>
      </c>
      <c r="F4" s="34" t="str">
        <f t="shared" si="0"/>
        <v/>
      </c>
      <c r="G4" s="35"/>
      <c r="H4" s="37"/>
      <c r="I4" s="103" t="s">
        <v>16</v>
      </c>
      <c r="J4" s="101"/>
      <c r="K4" s="106" t="s">
        <v>17</v>
      </c>
      <c r="L4" s="104"/>
      <c r="M4" s="105" t="s">
        <v>18</v>
      </c>
      <c r="N4" s="101"/>
    </row>
    <row r="5" spans="1:14">
      <c r="A5" s="12">
        <f ca="1"/>
        <v>3</v>
      </c>
      <c r="B5" s="5" t="str">
        <f ca="1"/>
        <v>Nguyễn Hoàng Việt</v>
      </c>
      <c r="C5" s="6" t="str">
        <f ca="1"/>
        <v>Anh</v>
      </c>
      <c r="D5" s="7">
        <v>5.0999999999999996</v>
      </c>
      <c r="E5" s="7" t="str">
        <v/>
      </c>
      <c r="F5" s="34" t="str">
        <f t="shared" si="0"/>
        <v/>
      </c>
      <c r="G5" s="35"/>
      <c r="H5" s="38" t="s">
        <v>19</v>
      </c>
      <c r="I5" s="38">
        <f>COUNTIF(D3:D37,"&lt;2.0")</f>
        <v>0</v>
      </c>
      <c r="J5" s="39" t="str">
        <f t="shared" ref="J5:J11" si="1">IF(I5=0,"",I5/COUNT(($D$3:$D$37)))</f>
        <v/>
      </c>
      <c r="K5" s="40">
        <f>COUNTIF(E3:E37,"&lt;2.0")</f>
        <v>0</v>
      </c>
      <c r="L5" s="41" t="str">
        <f t="shared" ref="L5:L11" si="2">IF(K5=0,"",K5/COUNT(($E$3:$E$37)))</f>
        <v/>
      </c>
      <c r="M5" s="42">
        <f>COUNTIF(F3:F37,"&lt;2.0")</f>
        <v>0</v>
      </c>
      <c r="N5" s="43" t="str">
        <f t="shared" ref="N5:N11" si="3">IF(M5=0,"",M5/COUNT(($F$3:$F$37)))</f>
        <v/>
      </c>
    </row>
    <row r="6" spans="1:14">
      <c r="A6" s="9">
        <f ca="1"/>
        <v>4</v>
      </c>
      <c r="B6" s="10" t="str">
        <f ca="1"/>
        <v>Nguyễn Lê Ngọc</v>
      </c>
      <c r="C6" s="11" t="str">
        <f ca="1"/>
        <v>Băng</v>
      </c>
      <c r="D6" s="7">
        <v>3.7</v>
      </c>
      <c r="E6" s="7" t="str">
        <v/>
      </c>
      <c r="F6" s="34" t="str">
        <f t="shared" si="0"/>
        <v/>
      </c>
      <c r="G6" s="35"/>
      <c r="H6" s="38" t="s">
        <v>20</v>
      </c>
      <c r="I6" s="38">
        <f>COUNTIFS(D3:D37,"&gt;=2.0",D3:D37,"&lt;3.5")</f>
        <v>1</v>
      </c>
      <c r="J6" s="39">
        <f t="shared" si="1"/>
        <v>3.3333333333333333E-2</v>
      </c>
      <c r="K6" s="40">
        <f>COUNTIFS(E3:E37,"&gt;=2.0",E3:E37,"&lt;3.5")</f>
        <v>0</v>
      </c>
      <c r="L6" s="41" t="str">
        <f t="shared" si="2"/>
        <v/>
      </c>
      <c r="M6" s="42">
        <f>COUNTIFS(F3:F37,"&gt;=2.0",F3:F37,"&lt;3.5")</f>
        <v>0</v>
      </c>
      <c r="N6" s="43" t="str">
        <f t="shared" si="3"/>
        <v/>
      </c>
    </row>
    <row r="7" spans="1:14">
      <c r="A7" s="12">
        <f ca="1"/>
        <v>5</v>
      </c>
      <c r="B7" s="5" t="str">
        <f ca="1"/>
        <v>Nguyễn Minh</v>
      </c>
      <c r="C7" s="6" t="str">
        <f ca="1"/>
        <v>Dũng</v>
      </c>
      <c r="D7" s="7">
        <v>7.8</v>
      </c>
      <c r="E7" s="7" t="str">
        <v/>
      </c>
      <c r="F7" s="34" t="str">
        <f t="shared" si="0"/>
        <v/>
      </c>
      <c r="G7" s="35"/>
      <c r="H7" s="38" t="s">
        <v>21</v>
      </c>
      <c r="I7" s="38">
        <f>COUNTIFS(D3:D37,"&gt;=3.5",D3:D37,"&lt;5.0")</f>
        <v>7</v>
      </c>
      <c r="J7" s="39">
        <f t="shared" si="1"/>
        <v>0.23333333333333334</v>
      </c>
      <c r="K7" s="40">
        <f>COUNTIFS(E3:E37,"&gt;=3.5",E3:E37,"&lt;5.0")</f>
        <v>0</v>
      </c>
      <c r="L7" s="41" t="str">
        <f t="shared" si="2"/>
        <v/>
      </c>
      <c r="M7" s="42">
        <f>COUNTIFS(F3:F37,"&gt;=3.5",F3:F37,"&lt;5.0")</f>
        <v>0</v>
      </c>
      <c r="N7" s="43" t="str">
        <f t="shared" si="3"/>
        <v/>
      </c>
    </row>
    <row r="8" spans="1:14">
      <c r="A8" s="9">
        <f ca="1"/>
        <v>6</v>
      </c>
      <c r="B8" s="10" t="str">
        <f ca="1"/>
        <v>Nguyễn Phan Minh</v>
      </c>
      <c r="C8" s="11" t="str">
        <f ca="1"/>
        <v>Duy</v>
      </c>
      <c r="D8" s="7">
        <v>3.5</v>
      </c>
      <c r="E8" s="7" t="str">
        <v/>
      </c>
      <c r="F8" s="34" t="str">
        <f t="shared" si="0"/>
        <v/>
      </c>
      <c r="G8" s="35"/>
      <c r="H8" s="44" t="s">
        <v>22</v>
      </c>
      <c r="I8" s="44">
        <f>COUNTIF(D3:D37,"&lt;5.0")</f>
        <v>8</v>
      </c>
      <c r="J8" s="45">
        <f t="shared" si="1"/>
        <v>0.26666666666666666</v>
      </c>
      <c r="K8" s="46">
        <f>COUNTIF(E3:E37,"&lt;5.0")</f>
        <v>0</v>
      </c>
      <c r="L8" s="47" t="str">
        <f t="shared" si="2"/>
        <v/>
      </c>
      <c r="M8" s="48">
        <f>COUNTIF(F3:F37,"&lt;5.0")</f>
        <v>0</v>
      </c>
      <c r="N8" s="49" t="str">
        <f t="shared" si="3"/>
        <v/>
      </c>
    </row>
    <row r="9" spans="1:14">
      <c r="A9" s="12">
        <f ca="1"/>
        <v>7</v>
      </c>
      <c r="B9" s="5" t="str">
        <f ca="1"/>
        <v>Hoàng Huỳnh Nhật</v>
      </c>
      <c r="C9" s="6" t="str">
        <f ca="1"/>
        <v>Hào</v>
      </c>
      <c r="D9" s="7" t="str">
        <v/>
      </c>
      <c r="E9" s="7" t="str">
        <v/>
      </c>
      <c r="F9" s="34" t="str">
        <f t="shared" si="0"/>
        <v/>
      </c>
      <c r="G9" s="35"/>
      <c r="H9" s="38" t="s">
        <v>23</v>
      </c>
      <c r="I9" s="38">
        <f>COUNTIFS(D3:D37,"&gt;=5.0",D3:D37,"&lt;6.5")</f>
        <v>5</v>
      </c>
      <c r="J9" s="39">
        <f t="shared" si="1"/>
        <v>0.16666666666666666</v>
      </c>
      <c r="K9" s="40">
        <f>COUNTIFS(E3:E37,"&gt;=5.0",E3:E37,"&lt;6.5")</f>
        <v>0</v>
      </c>
      <c r="L9" s="41" t="str">
        <f t="shared" si="2"/>
        <v/>
      </c>
      <c r="M9" s="42">
        <f>COUNTIFS(F3:F37,"&gt;=5.0",F3:F37,"&lt;6.5")</f>
        <v>0</v>
      </c>
      <c r="N9" s="43" t="str">
        <f t="shared" si="3"/>
        <v/>
      </c>
    </row>
    <row r="10" spans="1:14">
      <c r="A10" s="9">
        <f ca="1"/>
        <v>8</v>
      </c>
      <c r="B10" s="10" t="str">
        <f ca="1"/>
        <v>Mai Nguyễn Bảo</v>
      </c>
      <c r="C10" s="11" t="str">
        <f ca="1"/>
        <v>Hân</v>
      </c>
      <c r="D10" s="7">
        <v>4.7</v>
      </c>
      <c r="E10" s="7" t="str">
        <v/>
      </c>
      <c r="F10" s="34" t="str">
        <f t="shared" si="0"/>
        <v/>
      </c>
      <c r="G10" s="35"/>
      <c r="H10" s="38" t="s">
        <v>24</v>
      </c>
      <c r="I10" s="38">
        <f>COUNTIFS(D3:D37,"&gt;=6.5",D3:D37,"&lt;8.0")</f>
        <v>12</v>
      </c>
      <c r="J10" s="39">
        <f t="shared" si="1"/>
        <v>0.4</v>
      </c>
      <c r="K10" s="40">
        <f>COUNTIFS(E3:E37,"&gt;=6.5",E3:E37,"&lt;8.0")</f>
        <v>0</v>
      </c>
      <c r="L10" s="41" t="str">
        <f t="shared" si="2"/>
        <v/>
      </c>
      <c r="M10" s="42">
        <f>COUNTIFS(F3:F37,"&gt;=6.5",F3:F37,"&lt;8.0")</f>
        <v>0</v>
      </c>
      <c r="N10" s="43" t="str">
        <f t="shared" si="3"/>
        <v/>
      </c>
    </row>
    <row r="11" spans="1:14">
      <c r="A11" s="12">
        <f ca="1"/>
        <v>9</v>
      </c>
      <c r="B11" s="5" t="str">
        <f ca="1"/>
        <v>Mai Huỳnh Mỹ</v>
      </c>
      <c r="C11" s="6" t="str">
        <f ca="1"/>
        <v>Hiền</v>
      </c>
      <c r="D11" s="7">
        <v>8.1</v>
      </c>
      <c r="E11" s="7" t="str">
        <v/>
      </c>
      <c r="F11" s="34" t="str">
        <f t="shared" si="0"/>
        <v/>
      </c>
      <c r="G11" s="35"/>
      <c r="H11" s="38" t="s">
        <v>25</v>
      </c>
      <c r="I11" s="38">
        <f>COUNTIF(D3:D37,"&gt;=8.0")</f>
        <v>5</v>
      </c>
      <c r="J11" s="39">
        <f t="shared" si="1"/>
        <v>0.16666666666666666</v>
      </c>
      <c r="K11" s="40">
        <f>COUNTIF(E3:E37,"&gt;=8.0")</f>
        <v>0</v>
      </c>
      <c r="L11" s="41" t="str">
        <f t="shared" si="2"/>
        <v/>
      </c>
      <c r="M11" s="42">
        <f>COUNTIF(F3:F37,"&gt;=8.0")</f>
        <v>0</v>
      </c>
      <c r="N11" s="43" t="str">
        <f t="shared" si="3"/>
        <v/>
      </c>
    </row>
    <row r="12" spans="1:14">
      <c r="A12" s="9">
        <f ca="1"/>
        <v>10</v>
      </c>
      <c r="B12" s="10" t="str">
        <f ca="1"/>
        <v>Trần Đỗ Viết</v>
      </c>
      <c r="C12" s="11" t="str">
        <f ca="1"/>
        <v>Hòa</v>
      </c>
      <c r="D12" s="7">
        <v>5.7</v>
      </c>
      <c r="E12" s="7" t="str">
        <v/>
      </c>
      <c r="F12" s="34" t="str">
        <f t="shared" si="0"/>
        <v/>
      </c>
      <c r="G12" s="35"/>
      <c r="H12" s="35"/>
      <c r="I12" s="35"/>
      <c r="J12" s="35"/>
      <c r="K12" s="35"/>
      <c r="L12" s="35"/>
      <c r="M12" s="35"/>
      <c r="N12" s="35"/>
    </row>
    <row r="13" spans="1:14">
      <c r="A13" s="12">
        <f ca="1"/>
        <v>11</v>
      </c>
      <c r="B13" s="5" t="str">
        <f ca="1"/>
        <v>Huỳnh Minh</v>
      </c>
      <c r="C13" s="6" t="str">
        <f ca="1"/>
        <v>Huy</v>
      </c>
      <c r="D13" s="7">
        <v>7</v>
      </c>
      <c r="E13" s="7" t="str">
        <v/>
      </c>
      <c r="F13" s="34" t="str">
        <f t="shared" si="0"/>
        <v/>
      </c>
      <c r="G13" s="35"/>
      <c r="H13" s="102" t="s">
        <v>26</v>
      </c>
      <c r="I13" s="96"/>
      <c r="J13" s="96"/>
      <c r="K13" s="96"/>
      <c r="L13" s="96"/>
      <c r="M13" s="36"/>
      <c r="N13" s="36"/>
    </row>
    <row r="14" spans="1:14">
      <c r="A14" s="9">
        <f ca="1"/>
        <v>12</v>
      </c>
      <c r="B14" s="10" t="str">
        <f ca="1"/>
        <v>Đoàn Đình Nguyên</v>
      </c>
      <c r="C14" s="11" t="str">
        <f ca="1"/>
        <v>Khang</v>
      </c>
      <c r="D14" s="7">
        <v>5.3</v>
      </c>
      <c r="E14" s="7" t="str">
        <v/>
      </c>
      <c r="F14" s="34" t="str">
        <f t="shared" si="0"/>
        <v/>
      </c>
      <c r="G14" s="35"/>
      <c r="H14" s="37"/>
      <c r="I14" s="103" t="s">
        <v>16</v>
      </c>
      <c r="J14" s="104"/>
      <c r="K14" s="105" t="s">
        <v>17</v>
      </c>
      <c r="L14" s="101"/>
      <c r="M14" s="102"/>
      <c r="N14" s="96"/>
    </row>
    <row r="15" spans="1:14">
      <c r="A15" s="12">
        <f ca="1"/>
        <v>13</v>
      </c>
      <c r="B15" s="5" t="str">
        <f ca="1"/>
        <v>Phan Đình Quốc</v>
      </c>
      <c r="C15" s="6" t="str">
        <f ca="1"/>
        <v>Khánh</v>
      </c>
      <c r="D15" s="7">
        <v>9.1</v>
      </c>
      <c r="E15" s="7" t="str">
        <v/>
      </c>
      <c r="F15" s="34" t="str">
        <f t="shared" si="0"/>
        <v/>
      </c>
      <c r="G15" s="35"/>
      <c r="H15" s="38" t="s">
        <v>19</v>
      </c>
      <c r="I15" s="38">
        <f>COUNTIF('HK1'!$I$3:$I$37,"&lt;2.0")</f>
        <v>0</v>
      </c>
      <c r="J15" s="41" t="str">
        <f>IF(I15=0,"",I15/COUNT(('HK1'!$I$3:$I$37)))</f>
        <v/>
      </c>
      <c r="K15" s="42">
        <f>COUNTIF('HK2'!$I$3:$I$37,"&lt;2.0")</f>
        <v>0</v>
      </c>
      <c r="L15" s="41" t="str">
        <f>IF(K15=0,"",K15/COUNT(('HK2'!$I$3:$I$37)))</f>
        <v/>
      </c>
      <c r="M15" s="35"/>
      <c r="N15" s="50"/>
    </row>
    <row r="16" spans="1:14">
      <c r="A16" s="9">
        <f ca="1"/>
        <v>14</v>
      </c>
      <c r="B16" s="10" t="str">
        <f ca="1"/>
        <v>Võ Lâm Tuấn</v>
      </c>
      <c r="C16" s="11" t="str">
        <f ca="1"/>
        <v>Kiệt</v>
      </c>
      <c r="D16" s="7">
        <v>9.6999999999999993</v>
      </c>
      <c r="E16" s="7" t="str">
        <v/>
      </c>
      <c r="F16" s="34" t="str">
        <f t="shared" si="0"/>
        <v/>
      </c>
      <c r="G16" s="35"/>
      <c r="H16" s="38" t="s">
        <v>20</v>
      </c>
      <c r="I16" s="38">
        <f>COUNTIFS('HK1'!$I$3:$I$37,"&gt;=2.0",'HK1'!$I$3:$I$37,"&lt;3.5")</f>
        <v>0</v>
      </c>
      <c r="J16" s="41" t="str">
        <f>IF(I16=0,"",I16/COUNT(('HK1'!$I$3:$I$37)))</f>
        <v/>
      </c>
      <c r="K16" s="42">
        <f>COUNTIFS('HK2'!$I$3:$I$37,"&gt;=2.0",'HK2'!$I$3:$I$37,"&lt;3.5")</f>
        <v>0</v>
      </c>
      <c r="L16" s="41" t="str">
        <f>IF(K16=0,"",K16/COUNT(('HK2'!$I$3:$I$37)))</f>
        <v/>
      </c>
      <c r="M16" s="35"/>
      <c r="N16" s="50"/>
    </row>
    <row r="17" spans="1:14">
      <c r="A17" s="12">
        <f ca="1"/>
        <v>15</v>
      </c>
      <c r="B17" s="5" t="str">
        <f ca="1"/>
        <v>Nguyễn Bá Triệu</v>
      </c>
      <c r="C17" s="6" t="str">
        <f ca="1"/>
        <v>Lâm</v>
      </c>
      <c r="D17" s="7">
        <v>7.7</v>
      </c>
      <c r="E17" s="7" t="str">
        <v/>
      </c>
      <c r="F17" s="34" t="str">
        <f t="shared" si="0"/>
        <v/>
      </c>
      <c r="G17" s="35"/>
      <c r="H17" s="38" t="s">
        <v>21</v>
      </c>
      <c r="I17" s="38">
        <f>COUNTIFS('HK1'!$I$3:$I$37,"&gt;=3.5",'HK1'!$I$3:$I$37,"&lt;5.0")</f>
        <v>0</v>
      </c>
      <c r="J17" s="41" t="str">
        <f>IF(I17=0,"",I17/COUNT(('HK1'!$I$3:$I$37)))</f>
        <v/>
      </c>
      <c r="K17" s="42">
        <f>COUNTIFS('HK2'!$I$3:$I$37,"&gt;=3.5",'HK2'!$I$3:$I$37,"&lt;5.0")</f>
        <v>0</v>
      </c>
      <c r="L17" s="41" t="str">
        <f>IF(K17=0,"",K17/COUNT(('HK2'!$I$3:$I$37)))</f>
        <v/>
      </c>
      <c r="M17" s="35"/>
      <c r="N17" s="50"/>
    </row>
    <row r="18" spans="1:14">
      <c r="A18" s="9">
        <f ca="1"/>
        <v>16</v>
      </c>
      <c r="B18" s="10" t="str">
        <f ca="1"/>
        <v>Nguyễn Hoàng Gia</v>
      </c>
      <c r="C18" s="11" t="str">
        <f ca="1"/>
        <v>Linh</v>
      </c>
      <c r="D18" s="7">
        <v>7.1</v>
      </c>
      <c r="E18" s="7" t="str">
        <v/>
      </c>
      <c r="F18" s="34" t="str">
        <f t="shared" si="0"/>
        <v/>
      </c>
      <c r="G18" s="35"/>
      <c r="H18" s="44" t="s">
        <v>22</v>
      </c>
      <c r="I18" s="44">
        <f>COUNTIF('HK1'!$I$3:$I$37,"&lt;5.0")</f>
        <v>0</v>
      </c>
      <c r="J18" s="51" t="str">
        <f>IF(I18=0,"",I18/COUNT(('HK1'!$I$3:$I$37)))</f>
        <v/>
      </c>
      <c r="K18" s="48">
        <f>COUNTIF('HK2'!$I$3:$I$37,"&lt;5.0")</f>
        <v>0</v>
      </c>
      <c r="L18" s="51" t="str">
        <f>IF(K18=0,"",K18/COUNT(('HK2'!$I$3:$I$37)))</f>
        <v/>
      </c>
      <c r="M18" s="52"/>
      <c r="N18" s="53"/>
    </row>
    <row r="19" spans="1:14">
      <c r="A19" s="12">
        <f ca="1"/>
        <v>17</v>
      </c>
      <c r="B19" s="5" t="str">
        <f ca="1"/>
        <v>Tạ Phương</v>
      </c>
      <c r="C19" s="6" t="str">
        <f ca="1"/>
        <v>Linh</v>
      </c>
      <c r="D19" s="7">
        <v>4.2</v>
      </c>
      <c r="E19" s="7" t="str">
        <v/>
      </c>
      <c r="F19" s="34" t="str">
        <f t="shared" si="0"/>
        <v/>
      </c>
      <c r="G19" s="35"/>
      <c r="H19" s="38" t="s">
        <v>23</v>
      </c>
      <c r="I19" s="38">
        <f>COUNTIFS('HK1'!$I$3:$I$37,"&gt;=5.0",'HK1'!$I$3:$I$37,"&lt;6.5")</f>
        <v>0</v>
      </c>
      <c r="J19" s="41" t="str">
        <f>IF(I19=0,"",I19/COUNT(('HK1'!$I$3:$I$37)))</f>
        <v/>
      </c>
      <c r="K19" s="42">
        <f>COUNTIFS('HK2'!$I$3:$I$37,"&gt;=5.0",'HK2'!$I$3:$I$37,"&lt;6.5")</f>
        <v>0</v>
      </c>
      <c r="L19" s="41" t="str">
        <f>IF(K19=0,"",K19/COUNT(('HK2'!$I$3:$I$37)))</f>
        <v/>
      </c>
      <c r="M19" s="35"/>
      <c r="N19" s="50"/>
    </row>
    <row r="20" spans="1:14">
      <c r="A20" s="9">
        <f ca="1"/>
        <v>18</v>
      </c>
      <c r="B20" s="10" t="str">
        <f ca="1"/>
        <v>Trần Thành</v>
      </c>
      <c r="C20" s="11" t="str">
        <f ca="1"/>
        <v>Lộc</v>
      </c>
      <c r="D20" s="7">
        <v>7.6</v>
      </c>
      <c r="E20" s="7" t="str">
        <v/>
      </c>
      <c r="F20" s="34" t="str">
        <f t="shared" si="0"/>
        <v/>
      </c>
      <c r="G20" s="35"/>
      <c r="H20" s="38" t="s">
        <v>24</v>
      </c>
      <c r="I20" s="38">
        <f>COUNTIFS('HK1'!$I$3:$I$37,"&gt;=6.5",'HK1'!$I$3:$I$37,"&lt;8.0")</f>
        <v>0</v>
      </c>
      <c r="J20" s="41" t="str">
        <f>IF(I20=0,"",I20/COUNT(('HK1'!$I$3:$I$37)))</f>
        <v/>
      </c>
      <c r="K20" s="42">
        <f>COUNTIFS('HK2'!$I$3:$I$37,"&gt;=6.5",'HK2'!$I$3:$I$37,"&lt;8.0")</f>
        <v>0</v>
      </c>
      <c r="L20" s="41" t="str">
        <f>IF(K20=0,"",K20/COUNT(('HK2'!$I$3:$I$37)))</f>
        <v/>
      </c>
      <c r="M20" s="35"/>
      <c r="N20" s="50"/>
    </row>
    <row r="21" spans="1:14">
      <c r="A21" s="12">
        <f ca="1"/>
        <v>19</v>
      </c>
      <c r="B21" s="5" t="str">
        <f ca="1"/>
        <v>Nguyễn Lê Ngọc</v>
      </c>
      <c r="C21" s="6" t="str">
        <f ca="1"/>
        <v>Nghi</v>
      </c>
      <c r="D21" s="7">
        <v>7.6</v>
      </c>
      <c r="E21" s="7" t="str">
        <v/>
      </c>
      <c r="F21" s="34" t="str">
        <f t="shared" si="0"/>
        <v/>
      </c>
      <c r="G21" s="35"/>
      <c r="H21" s="38" t="s">
        <v>25</v>
      </c>
      <c r="I21" s="38">
        <f>COUNTIF('HK1'!$I$3:$I$37,"&gt;=8.0")</f>
        <v>0</v>
      </c>
      <c r="J21" s="41" t="str">
        <f>IF(I21=0,"",I21/COUNT(('HK1'!$I$3:$I$37)))</f>
        <v/>
      </c>
      <c r="K21" s="42">
        <f>COUNTIF('HK2'!$I$3:$I$37,"&gt;=8.0")</f>
        <v>0</v>
      </c>
      <c r="L21" s="41" t="str">
        <f>IF(K21=0,"",K21/COUNT(('HK2'!$I$3:$I$37)))</f>
        <v/>
      </c>
      <c r="M21" s="35"/>
      <c r="N21" s="50"/>
    </row>
    <row r="22" spans="1:14">
      <c r="A22" s="9">
        <f ca="1"/>
        <v>20</v>
      </c>
      <c r="B22" s="10" t="str">
        <f ca="1"/>
        <v>Trương Thị Mẫn</v>
      </c>
      <c r="C22" s="11" t="str">
        <f ca="1"/>
        <v>Nghi</v>
      </c>
      <c r="D22" s="7">
        <v>3.4</v>
      </c>
      <c r="E22" s="7" t="str">
        <v/>
      </c>
      <c r="F22" s="34" t="str">
        <f t="shared" si="0"/>
        <v/>
      </c>
      <c r="G22" s="35"/>
      <c r="H22" s="35"/>
      <c r="I22" s="35"/>
      <c r="J22" s="35"/>
      <c r="K22" s="35"/>
      <c r="L22" s="35"/>
      <c r="M22" s="35"/>
      <c r="N22" s="35"/>
    </row>
    <row r="23" spans="1:14">
      <c r="A23" s="12">
        <f ca="1"/>
        <v>21</v>
      </c>
      <c r="B23" s="5" t="str">
        <f ca="1"/>
        <v>Nguyễn Võ Yến</v>
      </c>
      <c r="C23" s="6" t="str">
        <f ca="1"/>
        <v>Nhi</v>
      </c>
      <c r="D23" s="7">
        <v>7.3</v>
      </c>
      <c r="E23" s="7" t="str">
        <v/>
      </c>
      <c r="F23" s="34" t="str">
        <f t="shared" si="0"/>
        <v/>
      </c>
      <c r="G23" s="35"/>
      <c r="H23" s="35"/>
      <c r="I23" s="35"/>
      <c r="J23" s="35"/>
      <c r="K23" s="35"/>
      <c r="L23" s="35"/>
      <c r="M23" s="35"/>
      <c r="N23" s="35"/>
    </row>
    <row r="24" spans="1:14">
      <c r="A24" s="9">
        <f ca="1"/>
        <v>22</v>
      </c>
      <c r="B24" s="10" t="str">
        <f ca="1"/>
        <v>Võ Ngọc Tâm</v>
      </c>
      <c r="C24" s="11" t="str">
        <f ca="1"/>
        <v>Nhi</v>
      </c>
      <c r="D24" s="7">
        <v>4.2</v>
      </c>
      <c r="E24" s="7" t="str">
        <v/>
      </c>
      <c r="F24" s="34" t="str">
        <f t="shared" si="0"/>
        <v/>
      </c>
      <c r="G24" s="35"/>
      <c r="H24" s="35"/>
      <c r="I24" s="35"/>
      <c r="J24" s="35"/>
      <c r="K24" s="35"/>
      <c r="L24" s="35"/>
      <c r="M24" s="35"/>
      <c r="N24" s="35"/>
    </row>
    <row r="25" spans="1:14">
      <c r="A25" s="12">
        <f ca="1"/>
        <v>23</v>
      </c>
      <c r="B25" s="5" t="str">
        <f ca="1"/>
        <v>Đỗ Thiên</v>
      </c>
      <c r="C25" s="6" t="str">
        <f ca="1"/>
        <v>Phú</v>
      </c>
      <c r="D25" s="7" t="str">
        <v/>
      </c>
      <c r="E25" s="7" t="str">
        <v/>
      </c>
      <c r="F25" s="34" t="str">
        <f t="shared" si="0"/>
        <v/>
      </c>
      <c r="G25" s="35"/>
      <c r="H25" s="35"/>
      <c r="I25" s="35"/>
      <c r="J25" s="35"/>
      <c r="K25" s="35"/>
      <c r="L25" s="35"/>
      <c r="M25" s="35"/>
      <c r="N25" s="35"/>
    </row>
    <row r="26" spans="1:14">
      <c r="A26" s="9">
        <f ca="1"/>
        <v>24</v>
      </c>
      <c r="B26" s="14" t="str">
        <f ca="1"/>
        <v>Đỗ Nguyễn Tấn</v>
      </c>
      <c r="C26" s="15" t="str">
        <f ca="1"/>
        <v>Tài</v>
      </c>
      <c r="D26" s="7">
        <v>5.6</v>
      </c>
      <c r="E26" s="7" t="str">
        <v/>
      </c>
      <c r="F26" s="34" t="str">
        <f t="shared" si="0"/>
        <v/>
      </c>
      <c r="G26" s="35"/>
      <c r="H26" s="35"/>
      <c r="I26" s="35"/>
      <c r="J26" s="35"/>
      <c r="K26" s="35"/>
      <c r="L26" s="35"/>
      <c r="M26" s="35"/>
      <c r="N26" s="35"/>
    </row>
    <row r="27" spans="1:14">
      <c r="A27" s="12">
        <f ca="1"/>
        <v>25</v>
      </c>
      <c r="B27" s="5" t="str">
        <f ca="1"/>
        <v>Trần Nguyễn Anh</v>
      </c>
      <c r="C27" s="6" t="str">
        <f ca="1"/>
        <v>Thư</v>
      </c>
      <c r="D27" s="7">
        <v>9.6999999999999993</v>
      </c>
      <c r="E27" s="7" t="str">
        <v/>
      </c>
      <c r="F27" s="34" t="str">
        <f t="shared" si="0"/>
        <v/>
      </c>
      <c r="G27" s="35"/>
      <c r="H27" s="35"/>
      <c r="I27" s="35"/>
      <c r="J27" s="35"/>
      <c r="K27" s="35"/>
      <c r="L27" s="35"/>
      <c r="M27" s="35"/>
      <c r="N27" s="35"/>
    </row>
    <row r="28" spans="1:14">
      <c r="A28" s="9">
        <f ca="1"/>
        <v>26</v>
      </c>
      <c r="B28" s="10" t="str">
        <f ca="1"/>
        <v>Vũ Cao Minh</v>
      </c>
      <c r="C28" s="11" t="str">
        <f ca="1"/>
        <v>Trí</v>
      </c>
      <c r="D28" s="7">
        <v>6.9</v>
      </c>
      <c r="E28" s="7" t="str">
        <v/>
      </c>
      <c r="F28" s="34" t="str">
        <f t="shared" si="0"/>
        <v/>
      </c>
      <c r="G28" s="35"/>
      <c r="H28" s="35"/>
      <c r="I28" s="35"/>
      <c r="J28" s="35"/>
      <c r="K28" s="35"/>
      <c r="L28" s="35"/>
      <c r="M28" s="35"/>
      <c r="N28" s="35"/>
    </row>
    <row r="29" spans="1:14">
      <c r="A29" s="12">
        <f ca="1"/>
        <v>27</v>
      </c>
      <c r="B29" s="5" t="str">
        <f ca="1"/>
        <v>Nguyễn Thái Minh</v>
      </c>
      <c r="C29" s="6" t="str">
        <f ca="1"/>
        <v>Triết</v>
      </c>
      <c r="D29" s="7">
        <v>4.4000000000000004</v>
      </c>
      <c r="E29" s="7" t="str">
        <v/>
      </c>
      <c r="F29" s="34" t="str">
        <f t="shared" si="0"/>
        <v/>
      </c>
      <c r="G29" s="35"/>
      <c r="H29" s="35"/>
      <c r="I29" s="35"/>
      <c r="J29" s="35"/>
      <c r="K29" s="35"/>
      <c r="L29" s="35"/>
      <c r="M29" s="35"/>
      <c r="N29" s="35"/>
    </row>
    <row r="30" spans="1:14">
      <c r="A30" s="9">
        <f ca="1"/>
        <v>28</v>
      </c>
      <c r="B30" s="10" t="str">
        <f ca="1"/>
        <v>Huỳnh Quốc</v>
      </c>
      <c r="C30" s="11" t="str">
        <f ca="1"/>
        <v>Trung</v>
      </c>
      <c r="D30" s="7">
        <v>7.1</v>
      </c>
      <c r="E30" s="7" t="str">
        <v/>
      </c>
      <c r="F30" s="34" t="str">
        <f t="shared" si="0"/>
        <v/>
      </c>
      <c r="G30" s="35"/>
      <c r="H30" s="35"/>
      <c r="I30" s="35"/>
      <c r="J30" s="35"/>
      <c r="K30" s="35"/>
      <c r="L30" s="35"/>
      <c r="M30" s="35"/>
      <c r="N30" s="35"/>
    </row>
    <row r="31" spans="1:14">
      <c r="A31" s="16">
        <f ca="1"/>
        <v>29</v>
      </c>
      <c r="B31" s="17" t="str">
        <f ca="1"/>
        <v>Phạm Anh</v>
      </c>
      <c r="C31" s="18" t="str">
        <f ca="1"/>
        <v>Tuấn</v>
      </c>
      <c r="D31" s="7">
        <v>8.6</v>
      </c>
      <c r="E31" s="7" t="str">
        <v/>
      </c>
      <c r="F31" s="34" t="str">
        <f t="shared" si="0"/>
        <v/>
      </c>
      <c r="G31" s="35"/>
      <c r="H31" s="35"/>
      <c r="I31" s="35"/>
      <c r="J31" s="35"/>
      <c r="K31" s="35"/>
      <c r="L31" s="35"/>
      <c r="M31" s="35"/>
      <c r="N31" s="35"/>
    </row>
    <row r="32" spans="1:14">
      <c r="A32" s="19">
        <f ca="1"/>
        <v>30</v>
      </c>
      <c r="B32" s="20" t="str">
        <f ca="1"/>
        <v>Trần Hoàng</v>
      </c>
      <c r="C32" s="21" t="str">
        <f ca="1"/>
        <v>Việt</v>
      </c>
      <c r="D32" s="7">
        <v>7.8</v>
      </c>
      <c r="E32" s="7" t="str">
        <v/>
      </c>
      <c r="F32" s="34" t="str">
        <f t="shared" si="0"/>
        <v/>
      </c>
      <c r="G32" s="35"/>
      <c r="H32" s="35"/>
      <c r="I32" s="35"/>
      <c r="J32" s="35"/>
      <c r="K32" s="35"/>
      <c r="L32" s="35"/>
      <c r="M32" s="35"/>
      <c r="N32" s="35"/>
    </row>
    <row r="33" spans="1:14">
      <c r="A33" s="16">
        <f ca="1"/>
        <v>31</v>
      </c>
      <c r="B33" s="22" t="str">
        <f ca="1"/>
        <v>Lê Nguyễn Hoàng</v>
      </c>
      <c r="C33" s="23" t="str">
        <f ca="1"/>
        <v>Vỹ</v>
      </c>
      <c r="D33" s="7">
        <v>4.5999999999999996</v>
      </c>
      <c r="E33" s="7" t="str">
        <v/>
      </c>
      <c r="F33" s="34" t="str">
        <f t="shared" si="0"/>
        <v/>
      </c>
      <c r="G33" s="35"/>
      <c r="H33" s="35"/>
      <c r="I33" s="35"/>
      <c r="J33" s="35"/>
      <c r="K33" s="35"/>
      <c r="L33" s="35"/>
      <c r="M33" s="35"/>
      <c r="N33" s="35"/>
    </row>
    <row r="34" spans="1:14">
      <c r="A34" s="16">
        <f ca="1"/>
        <v>32</v>
      </c>
      <c r="B34" s="22" t="str">
        <f ca="1"/>
        <v>Nguyễn Ngọc Kim</v>
      </c>
      <c r="C34" s="23" t="str">
        <f ca="1"/>
        <v>Yến</v>
      </c>
      <c r="D34" s="7">
        <v>6.3</v>
      </c>
      <c r="E34" s="7" t="str">
        <v/>
      </c>
      <c r="F34" s="34" t="str">
        <f t="shared" si="0"/>
        <v/>
      </c>
      <c r="G34" s="35"/>
      <c r="H34" s="35"/>
      <c r="I34" s="35"/>
      <c r="J34" s="35"/>
      <c r="K34" s="35"/>
      <c r="L34" s="35"/>
      <c r="M34" s="35"/>
      <c r="N34" s="35"/>
    </row>
    <row r="35" spans="1:14">
      <c r="A35" s="16">
        <f ca="1"/>
        <v>33</v>
      </c>
      <c r="B35" s="22">
        <v>0</v>
      </c>
      <c r="C35" s="23">
        <v>0</v>
      </c>
      <c r="D35" s="7" t="str">
        <v/>
      </c>
      <c r="E35" s="7" t="str">
        <v/>
      </c>
      <c r="F35" s="34" t="str">
        <f t="shared" si="0"/>
        <v/>
      </c>
      <c r="G35" s="35"/>
      <c r="H35" s="35"/>
      <c r="I35" s="35"/>
      <c r="J35" s="35"/>
      <c r="K35" s="35"/>
      <c r="L35" s="35"/>
      <c r="M35" s="35"/>
      <c r="N35" s="35"/>
    </row>
    <row r="36" spans="1:14">
      <c r="A36" s="19">
        <f ca="1"/>
        <v>34</v>
      </c>
      <c r="B36" s="24">
        <v>0</v>
      </c>
      <c r="C36" s="25">
        <v>0</v>
      </c>
      <c r="D36" s="7" t="str">
        <v/>
      </c>
      <c r="E36" s="7" t="str">
        <v/>
      </c>
      <c r="F36" s="34" t="str">
        <f t="shared" si="0"/>
        <v/>
      </c>
      <c r="G36" s="35"/>
      <c r="H36" s="35"/>
      <c r="I36" s="35"/>
      <c r="J36" s="35"/>
      <c r="K36" s="35"/>
      <c r="L36" s="35"/>
      <c r="M36" s="35"/>
      <c r="N36" s="35"/>
    </row>
    <row r="37" spans="1:14">
      <c r="A37" s="26">
        <v>0</v>
      </c>
      <c r="B37" s="27">
        <v>0</v>
      </c>
      <c r="C37" s="28">
        <v>0</v>
      </c>
      <c r="D37" s="7" t="str">
        <v/>
      </c>
      <c r="E37" s="7" t="str">
        <v/>
      </c>
      <c r="F37" s="34" t="str">
        <f t="shared" si="0"/>
        <v/>
      </c>
      <c r="G37" s="35"/>
      <c r="H37" s="35"/>
      <c r="I37" s="35"/>
      <c r="J37" s="35"/>
      <c r="K37" s="35"/>
      <c r="L37" s="35"/>
      <c r="M37" s="35"/>
      <c r="N37" s="35"/>
    </row>
    <row r="38" spans="1:14" ht="6" customHeight="1">
      <c r="A38" s="29"/>
      <c r="B38" s="30"/>
      <c r="C38" s="30"/>
      <c r="D38" s="32"/>
      <c r="E38" s="32"/>
      <c r="F38" s="32"/>
      <c r="G38" s="54"/>
      <c r="H38" s="54"/>
      <c r="I38" s="54"/>
      <c r="J38" s="54"/>
      <c r="K38" s="54"/>
      <c r="L38" s="54"/>
      <c r="M38" s="54"/>
      <c r="N38" s="54"/>
    </row>
  </sheetData>
  <mergeCells count="11">
    <mergeCell ref="H13:L13"/>
    <mergeCell ref="I14:J14"/>
    <mergeCell ref="K14:L14"/>
    <mergeCell ref="M14:N14"/>
    <mergeCell ref="A1:C1"/>
    <mergeCell ref="D1:N1"/>
    <mergeCell ref="A2:C2"/>
    <mergeCell ref="H3:N3"/>
    <mergeCell ref="I4:J4"/>
    <mergeCell ref="K4:L4"/>
    <mergeCell ref="M4:N4"/>
  </mergeCells>
  <conditionalFormatting sqref="A3:E37">
    <cfRule type="expression" dxfId="3" priority="1">
      <formula>ISEVEN(ROW())</formula>
    </cfRule>
  </conditionalFormatting>
  <conditionalFormatting sqref="F3:F37">
    <cfRule type="cellIs" dxfId="2" priority="2" operator="between">
      <formula>0.01</formula>
      <formula>1.99</formula>
    </cfRule>
  </conditionalFormatting>
  <conditionalFormatting sqref="F3:F37">
    <cfRule type="cellIs" dxfId="1" priority="3" operator="between">
      <formula>2</formula>
      <formula>3.49</formula>
    </cfRule>
  </conditionalFormatting>
  <conditionalFormatting sqref="F3:F37">
    <cfRule type="cellIs" dxfId="0" priority="4" operator="between">
      <formula>3.5</formula>
      <formula>4.99</formula>
    </cfRule>
  </conditionalFormatting>
  <dataValidations count="1">
    <dataValidation type="decimal" allowBlank="1" showDropDown="1" showInputMessage="1" showErrorMessage="1" prompt="Nhập số trong khoảng 0 và 10" sqref="D3:E37">
      <formula1>0</formula1>
      <formula2>10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HK1</vt:lpstr>
      <vt:lpstr>HK2</vt:lpstr>
      <vt:lpstr>CN</vt:lpstr>
      <vt:lpstr>CN!StudentNames</vt:lpstr>
      <vt:lpstr>'HK1'!StudentNames</vt:lpstr>
      <vt:lpstr>'HK2'!StudentNames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  <cp:lastPrinted>2021-10-17T03:06:31Z</cp:lastPrinted>
  <dcterms:created xsi:type="dcterms:W3CDTF">2021-10-17T03:20:13Z</dcterms:created>
  <dcterms:modified xsi:type="dcterms:W3CDTF">2021-11-05T22:24:26Z</dcterms:modified>
</cp:coreProperties>
</file>